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ko5571\OneDrive - AgCompany\Spinetoram CIPAC\Large sclae_Final documents\"/>
    </mc:Choice>
  </mc:AlternateContent>
  <xr:revisionPtr revIDLastSave="11" documentId="8_{62C71BFF-A0F2-44CD-B343-D32EB2A252ED}" xr6:coauthVersionLast="36" xr6:coauthVersionMax="45" xr10:uidLastSave="{CF57FF92-7F7E-4520-A3B8-C367049A6A55}"/>
  <bookViews>
    <workbookView xWindow="0" yWindow="0" windowWidth="25600" windowHeight="8150" firstSheet="2" activeTab="8" xr2:uid="{00000000-000D-0000-FFFF-FFFF00000000}"/>
  </bookViews>
  <sheets>
    <sheet name="Labs_shipping" sheetId="8" r:id="rId1"/>
    <sheet name="TC-1" sheetId="1" r:id="rId2"/>
    <sheet name="TC-2" sheetId="2" r:id="rId3"/>
    <sheet name="SC-1" sheetId="3" r:id="rId4"/>
    <sheet name="SC-2" sheetId="4" r:id="rId5"/>
    <sheet name="WG" sheetId="10" r:id="rId6"/>
    <sheet name="DT" sheetId="9" r:id="rId7"/>
    <sheet name="ISO Calculations(TC1_2_SC1_WG)" sheetId="6" r:id="rId8"/>
    <sheet name="ISO Calculations(SC2_DT)" sheetId="11" r:id="rId9"/>
  </sheets>
  <definedNames>
    <definedName name="_xlnm._FilterDatabase" localSheetId="0" hidden="1">Labs_shipping!$B$3:$I$18</definedName>
    <definedName name="_xlchart.v1.0" hidden="1">'ISO Calculations(TC1_2_SC1_WG)'!$A$3:$A$90</definedName>
    <definedName name="_xlchart.v1.1" hidden="1">'ISO Calculations(TC1_2_SC1_WG)'!$E$2</definedName>
    <definedName name="_xlchart.v1.10" hidden="1">'ISO Calculations(TC1_2_SC1_WG)'!$G$2</definedName>
    <definedName name="_xlchart.v1.11" hidden="1">'ISO Calculations(TC1_2_SC1_WG)'!$G$3:$G$90</definedName>
    <definedName name="_xlchart.v1.12" hidden="1">'ISO Calculations(TC1_2_SC1_WG)'!$A$3:$A$90</definedName>
    <definedName name="_xlchart.v1.13" hidden="1">'ISO Calculations(TC1_2_SC1_WG)'!$F$2</definedName>
    <definedName name="_xlchart.v1.14" hidden="1">'ISO Calculations(TC1_2_SC1_WG)'!$F$3:$F$90</definedName>
    <definedName name="_xlchart.v1.15" hidden="1">'ISO Calculations(TC1_2_SC1_WG)'!$A$3:$A$90</definedName>
    <definedName name="_xlchart.v1.16" hidden="1">'ISO Calculations(TC1_2_SC1_WG)'!$H$2</definedName>
    <definedName name="_xlchart.v1.17" hidden="1">'ISO Calculations(TC1_2_SC1_WG)'!$H$3:$H$90</definedName>
    <definedName name="_xlchart.v1.18" hidden="1">'ISO Calculations(SC2_DT)'!$A$3:$A$90</definedName>
    <definedName name="_xlchart.v1.19" hidden="1">'ISO Calculations(SC2_DT)'!$D$2</definedName>
    <definedName name="_xlchart.v1.2" hidden="1">'ISO Calculations(TC1_2_SC1_WG)'!$E$3:$E$90</definedName>
    <definedName name="_xlchart.v1.20" hidden="1">'ISO Calculations(SC2_DT)'!$D$3:$D$90</definedName>
    <definedName name="_xlchart.v1.21" hidden="1">'ISO Calculations(SC2_DT)'!$A$3:$A$90</definedName>
    <definedName name="_xlchart.v1.22" hidden="1">'ISO Calculations(SC2_DT)'!$F$2</definedName>
    <definedName name="_xlchart.v1.23" hidden="1">'ISO Calculations(SC2_DT)'!$F$3:$F$90</definedName>
    <definedName name="_xlchart.v1.24" hidden="1">'ISO Calculations(SC2_DT)'!$A$3:$A$90</definedName>
    <definedName name="_xlchart.v1.25" hidden="1">'ISO Calculations(SC2_DT)'!$C$2</definedName>
    <definedName name="_xlchart.v1.26" hidden="1">'ISO Calculations(SC2_DT)'!$C$3:$C$90</definedName>
    <definedName name="_xlchart.v1.27" hidden="1">'ISO Calculations(SC2_DT)'!$A$3:$A$90</definedName>
    <definedName name="_xlchart.v1.28" hidden="1">'ISO Calculations(SC2_DT)'!$E$2</definedName>
    <definedName name="_xlchart.v1.29" hidden="1">'ISO Calculations(SC2_DT)'!$E$3:$E$90</definedName>
    <definedName name="_xlchart.v1.3" hidden="1">'ISO Calculations(TC1_2_SC1_WG)'!$A$3:$A$90</definedName>
    <definedName name="_xlchart.v1.30" hidden="1">'ISO Calculations(SC2_DT)'!$A$3:$A$90</definedName>
    <definedName name="_xlchart.v1.31" hidden="1">'ISO Calculations(SC2_DT)'!$G$2</definedName>
    <definedName name="_xlchart.v1.32" hidden="1">'ISO Calculations(SC2_DT)'!$G$3:$G$90</definedName>
    <definedName name="_xlchart.v1.33" hidden="1">'ISO Calculations(SC2_DT)'!$A$3:$A$90</definedName>
    <definedName name="_xlchart.v1.34" hidden="1">'ISO Calculations(SC2_DT)'!$H$2</definedName>
    <definedName name="_xlchart.v1.35" hidden="1">'ISO Calculations(SC2_DT)'!$H$3:$H$90</definedName>
    <definedName name="_xlchart.v1.4" hidden="1">'ISO Calculations(TC1_2_SC1_WG)'!$C$2</definedName>
    <definedName name="_xlchart.v1.5" hidden="1">'ISO Calculations(TC1_2_SC1_WG)'!$C$3:$C$90</definedName>
    <definedName name="_xlchart.v1.6" hidden="1">'ISO Calculations(TC1_2_SC1_WG)'!$A$3:$A$90</definedName>
    <definedName name="_xlchart.v1.7" hidden="1">'ISO Calculations(TC1_2_SC1_WG)'!$D$2</definedName>
    <definedName name="_xlchart.v1.8" hidden="1">'ISO Calculations(TC1_2_SC1_WG)'!$D$3:$D$90</definedName>
    <definedName name="_xlchart.v1.9" hidden="1">'ISO Calculations(TC1_2_SC1_WG)'!$A$3:$A$90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1" i="11" l="1"/>
  <c r="K4" i="6"/>
  <c r="AD3" i="11" l="1"/>
  <c r="AD3" i="6"/>
  <c r="AD5" i="11" l="1"/>
  <c r="AD4" i="11"/>
  <c r="AD16" i="11" s="1"/>
  <c r="AB5" i="11"/>
  <c r="AB4" i="11"/>
  <c r="AB17" i="11" s="1"/>
  <c r="AD17" i="11" l="1"/>
  <c r="AB16" i="11"/>
  <c r="H90" i="11" l="1"/>
  <c r="G90" i="11"/>
  <c r="F90" i="11"/>
  <c r="E90" i="11"/>
  <c r="D90" i="11"/>
  <c r="C90" i="11"/>
  <c r="H89" i="11"/>
  <c r="G89" i="11"/>
  <c r="F89" i="11"/>
  <c r="E89" i="11"/>
  <c r="D89" i="11"/>
  <c r="C89" i="11"/>
  <c r="H88" i="11"/>
  <c r="G88" i="11"/>
  <c r="F88" i="11"/>
  <c r="E88" i="11"/>
  <c r="D88" i="11"/>
  <c r="C88" i="11"/>
  <c r="H87" i="11"/>
  <c r="G87" i="11"/>
  <c r="F87" i="11"/>
  <c r="E87" i="11"/>
  <c r="D87" i="11"/>
  <c r="C87" i="11"/>
  <c r="H86" i="11"/>
  <c r="G86" i="11"/>
  <c r="F86" i="11"/>
  <c r="E86" i="11"/>
  <c r="D86" i="11"/>
  <c r="C86" i="11"/>
  <c r="H85" i="11"/>
  <c r="G85" i="11"/>
  <c r="F85" i="11"/>
  <c r="E85" i="11"/>
  <c r="D85" i="11"/>
  <c r="C85" i="11"/>
  <c r="H84" i="11"/>
  <c r="G84" i="11"/>
  <c r="S30" i="11" s="1"/>
  <c r="F84" i="11"/>
  <c r="Q30" i="11" s="1"/>
  <c r="E84" i="11"/>
  <c r="D84" i="11"/>
  <c r="C84" i="11"/>
  <c r="H83" i="11"/>
  <c r="G83" i="11"/>
  <c r="F83" i="11"/>
  <c r="E83" i="11"/>
  <c r="O30" i="11" s="1"/>
  <c r="D83" i="11"/>
  <c r="M30" i="11" s="1"/>
  <c r="C83" i="11"/>
  <c r="H82" i="11"/>
  <c r="G82" i="11"/>
  <c r="F82" i="11"/>
  <c r="E82" i="11"/>
  <c r="D82" i="11"/>
  <c r="C82" i="11"/>
  <c r="H81" i="11"/>
  <c r="G81" i="11"/>
  <c r="F81" i="11"/>
  <c r="E81" i="11"/>
  <c r="D81" i="11"/>
  <c r="C81" i="11"/>
  <c r="H80" i="11"/>
  <c r="G80" i="11"/>
  <c r="F80" i="11"/>
  <c r="E80" i="11"/>
  <c r="D80" i="11"/>
  <c r="C80" i="11"/>
  <c r="H79" i="11"/>
  <c r="G79" i="11"/>
  <c r="F79" i="11"/>
  <c r="E79" i="11"/>
  <c r="D79" i="11"/>
  <c r="C79" i="11"/>
  <c r="H78" i="11"/>
  <c r="G78" i="11"/>
  <c r="F78" i="11"/>
  <c r="E78" i="11"/>
  <c r="D78" i="11"/>
  <c r="C78" i="11"/>
  <c r="H77" i="11"/>
  <c r="G77" i="11"/>
  <c r="F77" i="11"/>
  <c r="E77" i="11"/>
  <c r="D77" i="11"/>
  <c r="C77" i="11"/>
  <c r="H76" i="11"/>
  <c r="G76" i="11"/>
  <c r="S29" i="11" s="1"/>
  <c r="F76" i="11"/>
  <c r="Q13" i="11" s="1"/>
  <c r="E76" i="11"/>
  <c r="D76" i="11"/>
  <c r="C76" i="11"/>
  <c r="H75" i="11"/>
  <c r="U29" i="11" s="1"/>
  <c r="G75" i="11"/>
  <c r="F75" i="11"/>
  <c r="E75" i="11"/>
  <c r="O29" i="11" s="1"/>
  <c r="D75" i="11"/>
  <c r="M29" i="11" s="1"/>
  <c r="C75" i="11"/>
  <c r="H74" i="11"/>
  <c r="G74" i="11"/>
  <c r="F74" i="11"/>
  <c r="E74" i="11"/>
  <c r="D74" i="11"/>
  <c r="C74" i="11"/>
  <c r="H73" i="11"/>
  <c r="G73" i="11"/>
  <c r="F73" i="11"/>
  <c r="E73" i="11"/>
  <c r="D73" i="11"/>
  <c r="C73" i="11"/>
  <c r="H72" i="11"/>
  <c r="G72" i="11"/>
  <c r="F72" i="11"/>
  <c r="E72" i="11"/>
  <c r="D72" i="11"/>
  <c r="C72" i="11"/>
  <c r="H71" i="11"/>
  <c r="G71" i="11"/>
  <c r="F71" i="11"/>
  <c r="E71" i="11"/>
  <c r="D71" i="11"/>
  <c r="C71" i="11"/>
  <c r="H70" i="11"/>
  <c r="G70" i="11"/>
  <c r="F70" i="11"/>
  <c r="E70" i="11"/>
  <c r="D70" i="11"/>
  <c r="C70" i="11"/>
  <c r="H69" i="11"/>
  <c r="G69" i="11"/>
  <c r="F69" i="11"/>
  <c r="E69" i="11"/>
  <c r="D69" i="11"/>
  <c r="C69" i="11"/>
  <c r="H68" i="11"/>
  <c r="G68" i="11"/>
  <c r="F68" i="11"/>
  <c r="Q12" i="11" s="1"/>
  <c r="E68" i="11"/>
  <c r="D68" i="11"/>
  <c r="C68" i="11"/>
  <c r="H67" i="11"/>
  <c r="U28" i="11" s="1"/>
  <c r="G67" i="11"/>
  <c r="F67" i="11"/>
  <c r="E67" i="11"/>
  <c r="O28" i="11" s="1"/>
  <c r="D67" i="11"/>
  <c r="M28" i="11" s="1"/>
  <c r="C67" i="11"/>
  <c r="H66" i="11"/>
  <c r="G66" i="11"/>
  <c r="F66" i="11"/>
  <c r="E66" i="11"/>
  <c r="D66" i="11"/>
  <c r="C66" i="11"/>
  <c r="H65" i="11"/>
  <c r="G65" i="11"/>
  <c r="F65" i="11"/>
  <c r="E65" i="11"/>
  <c r="D65" i="11"/>
  <c r="C65" i="11"/>
  <c r="H64" i="11"/>
  <c r="G64" i="11"/>
  <c r="F64" i="11"/>
  <c r="E64" i="11"/>
  <c r="D64" i="11"/>
  <c r="C64" i="11"/>
  <c r="H63" i="11"/>
  <c r="G63" i="11"/>
  <c r="F63" i="11"/>
  <c r="E63" i="11"/>
  <c r="D63" i="11"/>
  <c r="C63" i="11"/>
  <c r="H62" i="11"/>
  <c r="G62" i="11"/>
  <c r="F62" i="11"/>
  <c r="E62" i="11"/>
  <c r="D62" i="11"/>
  <c r="C62" i="11"/>
  <c r="H61" i="11"/>
  <c r="G61" i="11"/>
  <c r="F61" i="11"/>
  <c r="E61" i="11"/>
  <c r="D61" i="11"/>
  <c r="C61" i="11"/>
  <c r="H60" i="11"/>
  <c r="G60" i="11"/>
  <c r="S27" i="11" s="1"/>
  <c r="F60" i="11"/>
  <c r="Q27" i="11" s="1"/>
  <c r="E60" i="11"/>
  <c r="D60" i="11"/>
  <c r="C60" i="11"/>
  <c r="H59" i="11"/>
  <c r="U11" i="11" s="1"/>
  <c r="G59" i="11"/>
  <c r="F59" i="11"/>
  <c r="E59" i="11"/>
  <c r="O27" i="11" s="1"/>
  <c r="D59" i="11"/>
  <c r="M11" i="11" s="1"/>
  <c r="C59" i="11"/>
  <c r="H58" i="11"/>
  <c r="G58" i="11"/>
  <c r="F58" i="11"/>
  <c r="E58" i="11"/>
  <c r="D58" i="11"/>
  <c r="C58" i="11"/>
  <c r="H57" i="11"/>
  <c r="G57" i="11"/>
  <c r="F57" i="11"/>
  <c r="E57" i="11"/>
  <c r="D57" i="11"/>
  <c r="C57" i="11"/>
  <c r="H56" i="11"/>
  <c r="G56" i="11"/>
  <c r="F56" i="11"/>
  <c r="E56" i="11"/>
  <c r="D56" i="11"/>
  <c r="C56" i="11"/>
  <c r="H55" i="11"/>
  <c r="G55" i="11"/>
  <c r="F55" i="11"/>
  <c r="E55" i="11"/>
  <c r="D55" i="11"/>
  <c r="C55" i="11"/>
  <c r="H54" i="11"/>
  <c r="G54" i="11"/>
  <c r="F54" i="11"/>
  <c r="E54" i="11"/>
  <c r="D54" i="11"/>
  <c r="C54" i="11"/>
  <c r="H53" i="11"/>
  <c r="G53" i="11"/>
  <c r="F53" i="11"/>
  <c r="E53" i="11"/>
  <c r="D53" i="11"/>
  <c r="C53" i="11"/>
  <c r="H52" i="11"/>
  <c r="G52" i="11"/>
  <c r="S26" i="11" s="1"/>
  <c r="F52" i="11"/>
  <c r="Q10" i="11" s="1"/>
  <c r="E52" i="11"/>
  <c r="D52" i="11"/>
  <c r="C52" i="11"/>
  <c r="K26" i="11" s="1"/>
  <c r="H51" i="11"/>
  <c r="U26" i="11" s="1"/>
  <c r="G51" i="11"/>
  <c r="F51" i="11"/>
  <c r="E51" i="11"/>
  <c r="O26" i="11" s="1"/>
  <c r="D51" i="11"/>
  <c r="M10" i="11" s="1"/>
  <c r="C51" i="11"/>
  <c r="H50" i="11"/>
  <c r="G50" i="11"/>
  <c r="F50" i="11"/>
  <c r="E50" i="11"/>
  <c r="D50" i="11"/>
  <c r="C50" i="11"/>
  <c r="H49" i="11"/>
  <c r="G49" i="11"/>
  <c r="F49" i="11"/>
  <c r="E49" i="11"/>
  <c r="D49" i="11"/>
  <c r="C49" i="11"/>
  <c r="H48" i="11"/>
  <c r="G48" i="11"/>
  <c r="F48" i="11"/>
  <c r="E48" i="11"/>
  <c r="D48" i="11"/>
  <c r="C48" i="11"/>
  <c r="H47" i="11"/>
  <c r="G47" i="11"/>
  <c r="F47" i="11"/>
  <c r="E47" i="11"/>
  <c r="D47" i="11"/>
  <c r="C47" i="11"/>
  <c r="H46" i="11"/>
  <c r="G46" i="11"/>
  <c r="F46" i="11"/>
  <c r="E46" i="11"/>
  <c r="D46" i="11"/>
  <c r="C46" i="11"/>
  <c r="H45" i="11"/>
  <c r="G45" i="11"/>
  <c r="F45" i="11"/>
  <c r="E45" i="11"/>
  <c r="D45" i="11"/>
  <c r="C45" i="11"/>
  <c r="H44" i="11"/>
  <c r="G44" i="11"/>
  <c r="S25" i="11" s="1"/>
  <c r="F44" i="11"/>
  <c r="Q25" i="11" s="1"/>
  <c r="E44" i="11"/>
  <c r="D44" i="11"/>
  <c r="C44" i="11"/>
  <c r="K9" i="11" s="1"/>
  <c r="H43" i="11"/>
  <c r="U9" i="11" s="1"/>
  <c r="G43" i="11"/>
  <c r="F43" i="11"/>
  <c r="E43" i="11"/>
  <c r="D43" i="11"/>
  <c r="M9" i="11" s="1"/>
  <c r="C43" i="11"/>
  <c r="H42" i="11"/>
  <c r="G42" i="11"/>
  <c r="F42" i="11"/>
  <c r="E42" i="11"/>
  <c r="D42" i="11"/>
  <c r="C42" i="11"/>
  <c r="H41" i="11"/>
  <c r="G41" i="11"/>
  <c r="F41" i="11"/>
  <c r="E41" i="11"/>
  <c r="D41" i="11"/>
  <c r="C41" i="11"/>
  <c r="H40" i="11"/>
  <c r="G40" i="11"/>
  <c r="F40" i="11"/>
  <c r="E40" i="11"/>
  <c r="D40" i="11"/>
  <c r="C40" i="11"/>
  <c r="H39" i="11"/>
  <c r="G39" i="11"/>
  <c r="F39" i="11"/>
  <c r="E39" i="11"/>
  <c r="D39" i="11"/>
  <c r="C39" i="11"/>
  <c r="H38" i="11"/>
  <c r="G38" i="11"/>
  <c r="F38" i="11"/>
  <c r="E38" i="11"/>
  <c r="D38" i="11"/>
  <c r="C38" i="11"/>
  <c r="H37" i="11"/>
  <c r="G37" i="11"/>
  <c r="F37" i="11"/>
  <c r="E37" i="11"/>
  <c r="D37" i="11"/>
  <c r="C37" i="11"/>
  <c r="H36" i="11"/>
  <c r="G36" i="11"/>
  <c r="S8" i="11" s="1"/>
  <c r="F36" i="11"/>
  <c r="Q24" i="11" s="1"/>
  <c r="E36" i="11"/>
  <c r="D36" i="11"/>
  <c r="C36" i="11"/>
  <c r="H35" i="11"/>
  <c r="U8" i="11" s="1"/>
  <c r="G35" i="11"/>
  <c r="F35" i="11"/>
  <c r="E35" i="11"/>
  <c r="O24" i="11" s="1"/>
  <c r="D35" i="11"/>
  <c r="M24" i="11" s="1"/>
  <c r="C35" i="11"/>
  <c r="H34" i="11"/>
  <c r="G34" i="11"/>
  <c r="F34" i="11"/>
  <c r="E34" i="11"/>
  <c r="D34" i="11"/>
  <c r="C34" i="11"/>
  <c r="H33" i="11"/>
  <c r="G33" i="11"/>
  <c r="F33" i="11"/>
  <c r="E33" i="11"/>
  <c r="D33" i="11"/>
  <c r="C33" i="11"/>
  <c r="H32" i="11"/>
  <c r="G32" i="11"/>
  <c r="F32" i="11"/>
  <c r="Q23" i="11" s="1"/>
  <c r="E32" i="11"/>
  <c r="D32" i="11"/>
  <c r="C32" i="11"/>
  <c r="H31" i="11"/>
  <c r="G31" i="11"/>
  <c r="F31" i="11"/>
  <c r="E31" i="11"/>
  <c r="D31" i="11"/>
  <c r="C31" i="11"/>
  <c r="K30" i="11"/>
  <c r="H30" i="11"/>
  <c r="G30" i="11"/>
  <c r="F30" i="11"/>
  <c r="E30" i="11"/>
  <c r="D30" i="11"/>
  <c r="C30" i="11"/>
  <c r="Q29" i="11"/>
  <c r="K29" i="11"/>
  <c r="H29" i="11"/>
  <c r="G29" i="11"/>
  <c r="F29" i="11"/>
  <c r="E29" i="11"/>
  <c r="D29" i="11"/>
  <c r="M7" i="11" s="1"/>
  <c r="C29" i="11"/>
  <c r="S28" i="11"/>
  <c r="Q28" i="11"/>
  <c r="H28" i="11"/>
  <c r="U23" i="11" s="1"/>
  <c r="G28" i="11"/>
  <c r="S7" i="11" s="1"/>
  <c r="F28" i="11"/>
  <c r="E28" i="11"/>
  <c r="D28" i="11"/>
  <c r="C28" i="11"/>
  <c r="K23" i="11" s="1"/>
  <c r="M27" i="11"/>
  <c r="H27" i="11"/>
  <c r="G27" i="11"/>
  <c r="F27" i="11"/>
  <c r="Q7" i="11" s="1"/>
  <c r="E27" i="11"/>
  <c r="O23" i="11" s="1"/>
  <c r="D27" i="11"/>
  <c r="C27" i="11"/>
  <c r="Q26" i="11"/>
  <c r="H26" i="11"/>
  <c r="G26" i="11"/>
  <c r="F26" i="11"/>
  <c r="E26" i="11"/>
  <c r="D26" i="11"/>
  <c r="C26" i="11"/>
  <c r="O25" i="11"/>
  <c r="M25" i="11"/>
  <c r="H25" i="11"/>
  <c r="G25" i="11"/>
  <c r="F25" i="11"/>
  <c r="E25" i="11"/>
  <c r="D25" i="11"/>
  <c r="C25" i="11"/>
  <c r="U24" i="11"/>
  <c r="H24" i="11"/>
  <c r="G24" i="11"/>
  <c r="F24" i="11"/>
  <c r="E24" i="11"/>
  <c r="D24" i="11"/>
  <c r="C24" i="11"/>
  <c r="H23" i="11"/>
  <c r="G23" i="11"/>
  <c r="F23" i="11"/>
  <c r="E23" i="11"/>
  <c r="D23" i="11"/>
  <c r="C23" i="11"/>
  <c r="H22" i="11"/>
  <c r="G22" i="11"/>
  <c r="F22" i="11"/>
  <c r="E22" i="11"/>
  <c r="D22" i="11"/>
  <c r="C22" i="11"/>
  <c r="H21" i="11"/>
  <c r="G21" i="11"/>
  <c r="F21" i="11"/>
  <c r="E21" i="11"/>
  <c r="D21" i="11"/>
  <c r="C21" i="11"/>
  <c r="H20" i="11"/>
  <c r="G20" i="11"/>
  <c r="F20" i="11"/>
  <c r="E20" i="11"/>
  <c r="D20" i="11"/>
  <c r="C20" i="11"/>
  <c r="H19" i="11"/>
  <c r="G19" i="11"/>
  <c r="S6" i="11" s="1"/>
  <c r="F19" i="11"/>
  <c r="E19" i="11"/>
  <c r="D19" i="11"/>
  <c r="C19" i="11"/>
  <c r="K22" i="11" s="1"/>
  <c r="H18" i="11"/>
  <c r="G18" i="11"/>
  <c r="F18" i="11"/>
  <c r="E18" i="11"/>
  <c r="D18" i="11"/>
  <c r="C18" i="11"/>
  <c r="H17" i="11"/>
  <c r="G17" i="11"/>
  <c r="F17" i="11"/>
  <c r="E17" i="11"/>
  <c r="D17" i="11"/>
  <c r="C17" i="11"/>
  <c r="H16" i="11"/>
  <c r="G16" i="11"/>
  <c r="F16" i="11"/>
  <c r="E16" i="11"/>
  <c r="D16" i="11"/>
  <c r="C16" i="11"/>
  <c r="H15" i="11"/>
  <c r="G15" i="11"/>
  <c r="F15" i="11"/>
  <c r="E15" i="11"/>
  <c r="D15" i="11"/>
  <c r="C15" i="11"/>
  <c r="M14" i="11"/>
  <c r="K14" i="11"/>
  <c r="H14" i="11"/>
  <c r="G14" i="11"/>
  <c r="F14" i="11"/>
  <c r="E14" i="11"/>
  <c r="D14" i="11"/>
  <c r="C14" i="11"/>
  <c r="U13" i="11"/>
  <c r="O13" i="11"/>
  <c r="K13" i="11"/>
  <c r="H13" i="11"/>
  <c r="G13" i="11"/>
  <c r="F13" i="11"/>
  <c r="E13" i="11"/>
  <c r="D13" i="11"/>
  <c r="C13" i="11"/>
  <c r="S12" i="11"/>
  <c r="O12" i="11"/>
  <c r="H12" i="11"/>
  <c r="G12" i="11"/>
  <c r="F12" i="11"/>
  <c r="E12" i="11"/>
  <c r="D12" i="11"/>
  <c r="C12" i="11"/>
  <c r="S11" i="11"/>
  <c r="Q11" i="11"/>
  <c r="H11" i="11"/>
  <c r="U5" i="11" s="1"/>
  <c r="G11" i="11"/>
  <c r="F11" i="11"/>
  <c r="Q21" i="11" s="1"/>
  <c r="E11" i="11"/>
  <c r="D11" i="11"/>
  <c r="M21" i="11" s="1"/>
  <c r="C11" i="11"/>
  <c r="U10" i="11"/>
  <c r="K10" i="11"/>
  <c r="H10" i="11"/>
  <c r="G10" i="11"/>
  <c r="F10" i="11"/>
  <c r="E10" i="11"/>
  <c r="D10" i="11"/>
  <c r="C10" i="11"/>
  <c r="O9" i="11"/>
  <c r="H9" i="11"/>
  <c r="G9" i="11"/>
  <c r="F9" i="11"/>
  <c r="E9" i="11"/>
  <c r="D9" i="11"/>
  <c r="C9" i="11"/>
  <c r="O8" i="11"/>
  <c r="H8" i="11"/>
  <c r="G8" i="11"/>
  <c r="F8" i="11"/>
  <c r="E8" i="11"/>
  <c r="D8" i="11"/>
  <c r="C8" i="11"/>
  <c r="U7" i="11"/>
  <c r="H7" i="11"/>
  <c r="G7" i="11"/>
  <c r="F7" i="11"/>
  <c r="E7" i="11"/>
  <c r="D7" i="11"/>
  <c r="C7" i="11"/>
  <c r="H6" i="11"/>
  <c r="G6" i="11"/>
  <c r="F6" i="11"/>
  <c r="E6" i="11"/>
  <c r="D6" i="11"/>
  <c r="C6" i="11"/>
  <c r="AC5" i="11"/>
  <c r="AA5" i="11"/>
  <c r="Z5" i="11"/>
  <c r="Y5" i="11"/>
  <c r="M5" i="11"/>
  <c r="H5" i="11"/>
  <c r="G5" i="11"/>
  <c r="F5" i="11"/>
  <c r="E5" i="11"/>
  <c r="D5" i="11"/>
  <c r="C5" i="11"/>
  <c r="AC4" i="11"/>
  <c r="AC16" i="11" s="1"/>
  <c r="AA4" i="11"/>
  <c r="AA16" i="11" s="1"/>
  <c r="Z4" i="11"/>
  <c r="Y4" i="11"/>
  <c r="H4" i="11"/>
  <c r="G4" i="11"/>
  <c r="F4" i="11"/>
  <c r="E4" i="11"/>
  <c r="D4" i="11"/>
  <c r="M20" i="11" s="1"/>
  <c r="C4" i="11"/>
  <c r="H3" i="11"/>
  <c r="G3" i="11"/>
  <c r="F3" i="11"/>
  <c r="E3" i="11"/>
  <c r="D3" i="11"/>
  <c r="C3" i="11"/>
  <c r="AA17" i="11" l="1"/>
  <c r="Q8" i="11"/>
  <c r="Q9" i="11"/>
  <c r="U12" i="11"/>
  <c r="U6" i="11"/>
  <c r="U20" i="11"/>
  <c r="O4" i="11"/>
  <c r="Z17" i="11"/>
  <c r="M8" i="11"/>
  <c r="O5" i="11"/>
  <c r="K5" i="11"/>
  <c r="Q6" i="11"/>
  <c r="AJ5" i="11" s="1"/>
  <c r="AJ7" i="11" s="1"/>
  <c r="M6" i="11"/>
  <c r="S24" i="11"/>
  <c r="K25" i="11"/>
  <c r="U25" i="11"/>
  <c r="M26" i="11"/>
  <c r="M23" i="11"/>
  <c r="U27" i="11"/>
  <c r="K8" i="11"/>
  <c r="K27" i="11"/>
  <c r="K28" i="11"/>
  <c r="AB6" i="11"/>
  <c r="AB8" i="11" s="1"/>
  <c r="S20" i="11"/>
  <c r="Q5" i="11"/>
  <c r="K21" i="11"/>
  <c r="M12" i="11"/>
  <c r="AG19" i="11" s="1"/>
  <c r="O6" i="11"/>
  <c r="K20" i="11"/>
  <c r="S4" i="11"/>
  <c r="S21" i="11"/>
  <c r="M13" i="11"/>
  <c r="AH5" i="11" s="1"/>
  <c r="AH7" i="11" s="1"/>
  <c r="Q14" i="11"/>
  <c r="AC17" i="11"/>
  <c r="M22" i="11"/>
  <c r="Z6" i="11" s="1"/>
  <c r="Z8" i="11" s="1"/>
  <c r="K6" i="11"/>
  <c r="M4" i="11"/>
  <c r="Y17" i="11"/>
  <c r="S5" i="11"/>
  <c r="U21" i="11"/>
  <c r="O22" i="11"/>
  <c r="S22" i="11"/>
  <c r="U22" i="11"/>
  <c r="S23" i="11"/>
  <c r="AH4" i="11"/>
  <c r="AH6" i="11" s="1"/>
  <c r="AC6" i="11"/>
  <c r="AC8" i="11" s="1"/>
  <c r="U4" i="11"/>
  <c r="O20" i="11"/>
  <c r="Y16" i="11"/>
  <c r="Z16" i="11"/>
  <c r="O21" i="11"/>
  <c r="K4" i="11"/>
  <c r="K7" i="11"/>
  <c r="S9" i="11"/>
  <c r="O10" i="11"/>
  <c r="K11" i="11"/>
  <c r="S13" i="11"/>
  <c r="O14" i="11"/>
  <c r="K24" i="11"/>
  <c r="Y6" i="11" s="1"/>
  <c r="Y8" i="11" s="1"/>
  <c r="O7" i="11"/>
  <c r="AA2" i="11" s="1"/>
  <c r="AA11" i="11" s="1"/>
  <c r="AH20" i="11" s="1"/>
  <c r="S10" i="11"/>
  <c r="O11" i="11"/>
  <c r="K12" i="11"/>
  <c r="S14" i="11"/>
  <c r="AK4" i="11" s="1"/>
  <c r="AK6" i="11" s="1"/>
  <c r="Q22" i="11"/>
  <c r="AG20" i="11" l="1"/>
  <c r="AD2" i="11"/>
  <c r="AD11" i="11" s="1"/>
  <c r="AH23" i="11" s="1"/>
  <c r="AG23" i="11"/>
  <c r="AJ4" i="11"/>
  <c r="AJ6" i="11" s="1"/>
  <c r="Z2" i="11"/>
  <c r="Z11" i="11" s="1"/>
  <c r="AH19" i="11" s="1"/>
  <c r="AI19" i="11" s="1"/>
  <c r="AD6" i="11"/>
  <c r="AD8" i="11" s="1"/>
  <c r="AB12" i="11"/>
  <c r="AG22" i="11"/>
  <c r="Z3" i="11"/>
  <c r="Z15" i="11" s="1"/>
  <c r="Z9" i="11" s="1"/>
  <c r="Z25" i="11" s="1"/>
  <c r="AG21" i="11"/>
  <c r="AI21" i="11" s="1"/>
  <c r="AB3" i="11"/>
  <c r="AB2" i="11"/>
  <c r="AB11" i="11" s="1"/>
  <c r="AH21" i="11" s="1"/>
  <c r="Y12" i="11"/>
  <c r="AI20" i="11"/>
  <c r="AG18" i="11"/>
  <c r="Y3" i="11"/>
  <c r="Y2" i="11"/>
  <c r="AH18" i="11" s="1"/>
  <c r="AG4" i="11"/>
  <c r="AG6" i="11" s="1"/>
  <c r="AG5" i="11"/>
  <c r="AG7" i="11" s="1"/>
  <c r="AL5" i="11"/>
  <c r="AL7" i="11" s="1"/>
  <c r="AL4" i="11"/>
  <c r="AL6" i="11" s="1"/>
  <c r="AC12" i="11"/>
  <c r="AA3" i="11"/>
  <c r="AA15" i="11" s="1"/>
  <c r="Z12" i="11"/>
  <c r="AI5" i="11"/>
  <c r="AI7" i="11" s="1"/>
  <c r="AC3" i="11"/>
  <c r="AC2" i="11"/>
  <c r="AC11" i="11" s="1"/>
  <c r="AH22" i="11" s="1"/>
  <c r="AI4" i="11"/>
  <c r="AI6" i="11" s="1"/>
  <c r="AK5" i="11"/>
  <c r="AK7" i="11" s="1"/>
  <c r="AA6" i="11"/>
  <c r="AA8" i="11" s="1"/>
  <c r="AB19" i="11" l="1"/>
  <c r="AD12" i="11"/>
  <c r="AD15" i="11"/>
  <c r="AD9" i="11" s="1"/>
  <c r="AD25" i="11" s="1"/>
  <c r="AB28" i="11"/>
  <c r="AB26" i="11"/>
  <c r="AB15" i="11"/>
  <c r="AB9" i="11" s="1"/>
  <c r="AI22" i="11"/>
  <c r="AC26" i="11"/>
  <c r="AC19" i="11"/>
  <c r="AC28" i="11"/>
  <c r="AC31" i="11" s="1"/>
  <c r="Y15" i="11"/>
  <c r="Y9" i="11" s="1"/>
  <c r="Z10" i="11"/>
  <c r="Z13" i="11" s="1"/>
  <c r="AI18" i="11"/>
  <c r="AC15" i="11"/>
  <c r="AC9" i="11" s="1"/>
  <c r="AA12" i="11"/>
  <c r="AB21" i="11" s="1"/>
  <c r="Z28" i="11"/>
  <c r="Z26" i="11"/>
  <c r="AA9" i="11"/>
  <c r="AA25" i="11" s="1"/>
  <c r="Y28" i="11"/>
  <c r="Y26" i="11"/>
  <c r="AA10" i="11" l="1"/>
  <c r="AA13" i="11" s="1"/>
  <c r="AA29" i="11" s="1"/>
  <c r="AB25" i="11"/>
  <c r="AB10" i="11"/>
  <c r="AB13" i="11" s="1"/>
  <c r="AD10" i="11"/>
  <c r="AD13" i="11" s="1"/>
  <c r="AD26" i="11"/>
  <c r="AD28" i="11"/>
  <c r="AD31" i="11" s="1"/>
  <c r="AD19" i="11"/>
  <c r="AA27" i="11"/>
  <c r="Y25" i="11"/>
  <c r="Y10" i="11"/>
  <c r="Y13" i="11" s="1"/>
  <c r="AA28" i="11"/>
  <c r="AA31" i="11" s="1"/>
  <c r="AA26" i="11"/>
  <c r="Y31" i="11"/>
  <c r="AC25" i="11"/>
  <c r="AC10" i="11"/>
  <c r="AC13" i="11" s="1"/>
  <c r="Z29" i="11"/>
  <c r="Z27" i="11"/>
  <c r="AD27" i="11" l="1"/>
  <c r="AD20" i="11"/>
  <c r="AD29" i="11"/>
  <c r="AD32" i="11" s="1"/>
  <c r="AB29" i="11"/>
  <c r="AA32" i="11" s="1"/>
  <c r="AB27" i="11"/>
  <c r="AB22" i="11"/>
  <c r="AI23" i="11"/>
  <c r="Y27" i="11"/>
  <c r="Y29" i="11"/>
  <c r="Y32" i="11" s="1"/>
  <c r="AB20" i="11"/>
  <c r="AC27" i="11"/>
  <c r="AC20" i="11"/>
  <c r="AC29" i="11"/>
  <c r="AC32" i="11" s="1"/>
  <c r="AD16" i="6" l="1"/>
  <c r="AD5" i="6"/>
  <c r="AC5" i="6"/>
  <c r="AB5" i="6"/>
  <c r="AA5" i="6"/>
  <c r="Z5" i="6"/>
  <c r="Y5" i="6"/>
  <c r="AD4" i="6"/>
  <c r="AD17" i="6" s="1"/>
  <c r="AC4" i="6"/>
  <c r="AC17" i="6" s="1"/>
  <c r="AB4" i="6"/>
  <c r="AA4" i="6"/>
  <c r="Z4" i="6"/>
  <c r="Y4" i="6"/>
  <c r="AC16" i="6" l="1"/>
  <c r="AB17" i="6"/>
  <c r="AB16" i="6"/>
  <c r="AA17" i="6"/>
  <c r="Z16" i="6"/>
  <c r="Y17" i="6"/>
  <c r="H84" i="6"/>
  <c r="H85" i="6"/>
  <c r="H86" i="6"/>
  <c r="H87" i="6"/>
  <c r="H88" i="6"/>
  <c r="H89" i="6"/>
  <c r="H90" i="6"/>
  <c r="H83" i="6"/>
  <c r="G84" i="6"/>
  <c r="G85" i="6"/>
  <c r="G86" i="6"/>
  <c r="G87" i="6"/>
  <c r="G88" i="6"/>
  <c r="G89" i="6"/>
  <c r="G90" i="6"/>
  <c r="G83" i="6"/>
  <c r="F84" i="6"/>
  <c r="F85" i="6"/>
  <c r="F86" i="6"/>
  <c r="F87" i="6"/>
  <c r="F88" i="6"/>
  <c r="F89" i="6"/>
  <c r="F90" i="6"/>
  <c r="F83" i="6"/>
  <c r="E84" i="6"/>
  <c r="E85" i="6"/>
  <c r="E86" i="6"/>
  <c r="E87" i="6"/>
  <c r="E88" i="6"/>
  <c r="E89" i="6"/>
  <c r="E90" i="6"/>
  <c r="E83" i="6"/>
  <c r="D84" i="6"/>
  <c r="D85" i="6"/>
  <c r="D86" i="6"/>
  <c r="D87" i="6"/>
  <c r="D88" i="6"/>
  <c r="M14" i="6" s="1"/>
  <c r="D89" i="6"/>
  <c r="D90" i="6"/>
  <c r="D83" i="6"/>
  <c r="C84" i="6"/>
  <c r="C85" i="6"/>
  <c r="C86" i="6"/>
  <c r="C87" i="6"/>
  <c r="C88" i="6"/>
  <c r="C89" i="6"/>
  <c r="C90" i="6"/>
  <c r="C83" i="6"/>
  <c r="H76" i="6"/>
  <c r="H77" i="6"/>
  <c r="H78" i="6"/>
  <c r="H79" i="6"/>
  <c r="H80" i="6"/>
  <c r="H81" i="6"/>
  <c r="H82" i="6"/>
  <c r="H75" i="6"/>
  <c r="G76" i="6"/>
  <c r="G77" i="6"/>
  <c r="G78" i="6"/>
  <c r="G79" i="6"/>
  <c r="G80" i="6"/>
  <c r="G81" i="6"/>
  <c r="G82" i="6"/>
  <c r="G75" i="6"/>
  <c r="S29" i="6" s="1"/>
  <c r="F76" i="6"/>
  <c r="F77" i="6"/>
  <c r="F78" i="6"/>
  <c r="F79" i="6"/>
  <c r="F80" i="6"/>
  <c r="F81" i="6"/>
  <c r="F82" i="6"/>
  <c r="F75" i="6"/>
  <c r="E76" i="6"/>
  <c r="E77" i="6"/>
  <c r="E78" i="6"/>
  <c r="E79" i="6"/>
  <c r="E80" i="6"/>
  <c r="E81" i="6"/>
  <c r="E82" i="6"/>
  <c r="E75" i="6"/>
  <c r="D76" i="6"/>
  <c r="D77" i="6"/>
  <c r="D78" i="6"/>
  <c r="D79" i="6"/>
  <c r="D80" i="6"/>
  <c r="M29" i="6" s="1"/>
  <c r="D81" i="6"/>
  <c r="D82" i="6"/>
  <c r="D75" i="6"/>
  <c r="C76" i="6"/>
  <c r="C77" i="6"/>
  <c r="C78" i="6"/>
  <c r="C79" i="6"/>
  <c r="C80" i="6"/>
  <c r="C81" i="6"/>
  <c r="C82" i="6"/>
  <c r="C75" i="6"/>
  <c r="H68" i="6"/>
  <c r="H69" i="6"/>
  <c r="H70" i="6"/>
  <c r="H71" i="6"/>
  <c r="H72" i="6"/>
  <c r="H73" i="6"/>
  <c r="H74" i="6"/>
  <c r="H67" i="6"/>
  <c r="G68" i="6"/>
  <c r="G69" i="6"/>
  <c r="G70" i="6"/>
  <c r="G71" i="6"/>
  <c r="G72" i="6"/>
  <c r="G73" i="6"/>
  <c r="G74" i="6"/>
  <c r="G67" i="6"/>
  <c r="S28" i="6" s="1"/>
  <c r="F68" i="6"/>
  <c r="F69" i="6"/>
  <c r="F70" i="6"/>
  <c r="F71" i="6"/>
  <c r="F72" i="6"/>
  <c r="F73" i="6"/>
  <c r="F74" i="6"/>
  <c r="F67" i="6"/>
  <c r="E68" i="6"/>
  <c r="E69" i="6"/>
  <c r="E70" i="6"/>
  <c r="E71" i="6"/>
  <c r="E72" i="6"/>
  <c r="O28" i="6" s="1"/>
  <c r="E73" i="6"/>
  <c r="E74" i="6"/>
  <c r="E67" i="6"/>
  <c r="D68" i="6"/>
  <c r="D69" i="6"/>
  <c r="D70" i="6"/>
  <c r="D71" i="6"/>
  <c r="D72" i="6"/>
  <c r="D73" i="6"/>
  <c r="D74" i="6"/>
  <c r="D67" i="6"/>
  <c r="C68" i="6"/>
  <c r="C69" i="6"/>
  <c r="C70" i="6"/>
  <c r="C71" i="6"/>
  <c r="C72" i="6"/>
  <c r="C73" i="6"/>
  <c r="C74" i="6"/>
  <c r="C67" i="6"/>
  <c r="H60" i="6"/>
  <c r="H61" i="6"/>
  <c r="H62" i="6"/>
  <c r="H63" i="6"/>
  <c r="H64" i="6"/>
  <c r="H65" i="6"/>
  <c r="H66" i="6"/>
  <c r="H59" i="6"/>
  <c r="G60" i="6"/>
  <c r="S11" i="6" s="1"/>
  <c r="G61" i="6"/>
  <c r="G62" i="6"/>
  <c r="G63" i="6"/>
  <c r="G64" i="6"/>
  <c r="G65" i="6"/>
  <c r="G66" i="6"/>
  <c r="G59" i="6"/>
  <c r="F60" i="6"/>
  <c r="F61" i="6"/>
  <c r="F62" i="6"/>
  <c r="F63" i="6"/>
  <c r="F64" i="6"/>
  <c r="F65" i="6"/>
  <c r="F66" i="6"/>
  <c r="F59" i="6"/>
  <c r="E60" i="6"/>
  <c r="E61" i="6"/>
  <c r="E62" i="6"/>
  <c r="E63" i="6"/>
  <c r="E64" i="6"/>
  <c r="O11" i="6" s="1"/>
  <c r="E65" i="6"/>
  <c r="E66" i="6"/>
  <c r="E59" i="6"/>
  <c r="D60" i="6"/>
  <c r="D61" i="6"/>
  <c r="D62" i="6"/>
  <c r="D63" i="6"/>
  <c r="D64" i="6"/>
  <c r="D65" i="6"/>
  <c r="D66" i="6"/>
  <c r="D59" i="6"/>
  <c r="C60" i="6"/>
  <c r="C61" i="6"/>
  <c r="C62" i="6"/>
  <c r="C63" i="6"/>
  <c r="C64" i="6"/>
  <c r="C65" i="6"/>
  <c r="C66" i="6"/>
  <c r="C59" i="6"/>
  <c r="H52" i="6"/>
  <c r="H53" i="6"/>
  <c r="H54" i="6"/>
  <c r="H55" i="6"/>
  <c r="H56" i="6"/>
  <c r="H57" i="6"/>
  <c r="H58" i="6"/>
  <c r="H51" i="6"/>
  <c r="G52" i="6"/>
  <c r="G53" i="6"/>
  <c r="G54" i="6"/>
  <c r="G55" i="6"/>
  <c r="G56" i="6"/>
  <c r="G57" i="6"/>
  <c r="G58" i="6"/>
  <c r="G51" i="6"/>
  <c r="F52" i="6"/>
  <c r="F53" i="6"/>
  <c r="F54" i="6"/>
  <c r="F55" i="6"/>
  <c r="F56" i="6"/>
  <c r="Q10" i="6" s="1"/>
  <c r="F57" i="6"/>
  <c r="F58" i="6"/>
  <c r="F51" i="6"/>
  <c r="E52" i="6"/>
  <c r="E53" i="6"/>
  <c r="E54" i="6"/>
  <c r="E55" i="6"/>
  <c r="E56" i="6"/>
  <c r="E57" i="6"/>
  <c r="E58" i="6"/>
  <c r="E51" i="6"/>
  <c r="D52" i="6"/>
  <c r="D53" i="6"/>
  <c r="D54" i="6"/>
  <c r="D55" i="6"/>
  <c r="D56" i="6"/>
  <c r="D57" i="6"/>
  <c r="D58" i="6"/>
  <c r="D51" i="6"/>
  <c r="C52" i="6"/>
  <c r="C53" i="6"/>
  <c r="C54" i="6"/>
  <c r="C55" i="6"/>
  <c r="C56" i="6"/>
  <c r="C57" i="6"/>
  <c r="C58" i="6"/>
  <c r="C51" i="6"/>
  <c r="H44" i="6"/>
  <c r="H45" i="6"/>
  <c r="H46" i="6"/>
  <c r="H47" i="6"/>
  <c r="H48" i="6"/>
  <c r="H49" i="6"/>
  <c r="H50" i="6"/>
  <c r="H43" i="6"/>
  <c r="G44" i="6"/>
  <c r="G45" i="6"/>
  <c r="G46" i="6"/>
  <c r="G47" i="6"/>
  <c r="G48" i="6"/>
  <c r="G49" i="6"/>
  <c r="G50" i="6"/>
  <c r="G43" i="6"/>
  <c r="F44" i="6"/>
  <c r="F45" i="6"/>
  <c r="F46" i="6"/>
  <c r="F47" i="6"/>
  <c r="F48" i="6"/>
  <c r="F49" i="6"/>
  <c r="F50" i="6"/>
  <c r="F43" i="6"/>
  <c r="E44" i="6"/>
  <c r="E45" i="6"/>
  <c r="E46" i="6"/>
  <c r="E47" i="6"/>
  <c r="E48" i="6"/>
  <c r="E49" i="6"/>
  <c r="E50" i="6"/>
  <c r="E43" i="6"/>
  <c r="D44" i="6"/>
  <c r="D45" i="6"/>
  <c r="D46" i="6"/>
  <c r="D47" i="6"/>
  <c r="D48" i="6"/>
  <c r="D49" i="6"/>
  <c r="D50" i="6"/>
  <c r="D43" i="6"/>
  <c r="C44" i="6"/>
  <c r="C45" i="6"/>
  <c r="C46" i="6"/>
  <c r="C47" i="6"/>
  <c r="C48" i="6"/>
  <c r="C49" i="6"/>
  <c r="C50" i="6"/>
  <c r="C43" i="6"/>
  <c r="H36" i="6"/>
  <c r="H37" i="6"/>
  <c r="H38" i="6"/>
  <c r="H39" i="6"/>
  <c r="H40" i="6"/>
  <c r="H41" i="6"/>
  <c r="H42" i="6"/>
  <c r="H35" i="6"/>
  <c r="G36" i="6"/>
  <c r="G37" i="6"/>
  <c r="G38" i="6"/>
  <c r="G39" i="6"/>
  <c r="G40" i="6"/>
  <c r="G41" i="6"/>
  <c r="G42" i="6"/>
  <c r="G35" i="6"/>
  <c r="S24" i="6" s="1"/>
  <c r="F36" i="6"/>
  <c r="F37" i="6"/>
  <c r="F38" i="6"/>
  <c r="F39" i="6"/>
  <c r="F40" i="6"/>
  <c r="F41" i="6"/>
  <c r="F42" i="6"/>
  <c r="F35" i="6"/>
  <c r="E36" i="6"/>
  <c r="E37" i="6"/>
  <c r="E38" i="6"/>
  <c r="E39" i="6"/>
  <c r="E40" i="6"/>
  <c r="E41" i="6"/>
  <c r="E42" i="6"/>
  <c r="E35" i="6"/>
  <c r="D36" i="6"/>
  <c r="D37" i="6"/>
  <c r="D38" i="6"/>
  <c r="D39" i="6"/>
  <c r="D40" i="6"/>
  <c r="D41" i="6"/>
  <c r="D42" i="6"/>
  <c r="D35" i="6"/>
  <c r="C36" i="6"/>
  <c r="C37" i="6"/>
  <c r="C38" i="6"/>
  <c r="C39" i="6"/>
  <c r="C40" i="6"/>
  <c r="C41" i="6"/>
  <c r="C42" i="6"/>
  <c r="C35" i="6"/>
  <c r="H28" i="6"/>
  <c r="H29" i="6"/>
  <c r="H30" i="6"/>
  <c r="H31" i="6"/>
  <c r="H32" i="6"/>
  <c r="H33" i="6"/>
  <c r="H34" i="6"/>
  <c r="H27" i="6"/>
  <c r="G28" i="6"/>
  <c r="G29" i="6"/>
  <c r="G30" i="6"/>
  <c r="G31" i="6"/>
  <c r="G32" i="6"/>
  <c r="G33" i="6"/>
  <c r="G34" i="6"/>
  <c r="G27" i="6"/>
  <c r="S23" i="6" s="1"/>
  <c r="F28" i="6"/>
  <c r="F29" i="6"/>
  <c r="F30" i="6"/>
  <c r="F31" i="6"/>
  <c r="F32" i="6"/>
  <c r="F33" i="6"/>
  <c r="F34" i="6"/>
  <c r="F27" i="6"/>
  <c r="E28" i="6"/>
  <c r="E29" i="6"/>
  <c r="E30" i="6"/>
  <c r="E31" i="6"/>
  <c r="E32" i="6"/>
  <c r="E33" i="6"/>
  <c r="E34" i="6"/>
  <c r="E27" i="6"/>
  <c r="D28" i="6"/>
  <c r="D29" i="6"/>
  <c r="D30" i="6"/>
  <c r="D31" i="6"/>
  <c r="D32" i="6"/>
  <c r="D33" i="6"/>
  <c r="D34" i="6"/>
  <c r="D27" i="6"/>
  <c r="C28" i="6"/>
  <c r="C29" i="6"/>
  <c r="C30" i="6"/>
  <c r="C31" i="6"/>
  <c r="C32" i="6"/>
  <c r="K23" i="6" s="1"/>
  <c r="C33" i="6"/>
  <c r="C34" i="6"/>
  <c r="C27" i="6"/>
  <c r="H20" i="6"/>
  <c r="H21" i="6"/>
  <c r="H22" i="6"/>
  <c r="H23" i="6"/>
  <c r="H24" i="6"/>
  <c r="H25" i="6"/>
  <c r="H26" i="6"/>
  <c r="H19" i="6"/>
  <c r="G20" i="6"/>
  <c r="S6" i="6" s="1"/>
  <c r="G21" i="6"/>
  <c r="G22" i="6"/>
  <c r="G23" i="6"/>
  <c r="G24" i="6"/>
  <c r="G25" i="6"/>
  <c r="G26" i="6"/>
  <c r="G19" i="6"/>
  <c r="S22" i="6" s="1"/>
  <c r="F20" i="6"/>
  <c r="F21" i="6"/>
  <c r="F22" i="6"/>
  <c r="F23" i="6"/>
  <c r="F24" i="6"/>
  <c r="F25" i="6"/>
  <c r="F26" i="6"/>
  <c r="F19" i="6"/>
  <c r="E20" i="6"/>
  <c r="E21" i="6"/>
  <c r="E22" i="6"/>
  <c r="E23" i="6"/>
  <c r="E24" i="6"/>
  <c r="E25" i="6"/>
  <c r="E26" i="6"/>
  <c r="E19" i="6"/>
  <c r="D20" i="6"/>
  <c r="D21" i="6"/>
  <c r="D22" i="6"/>
  <c r="D23" i="6"/>
  <c r="D24" i="6"/>
  <c r="D25" i="6"/>
  <c r="D26" i="6"/>
  <c r="D19" i="6"/>
  <c r="C20" i="6"/>
  <c r="C21" i="6"/>
  <c r="C22" i="6"/>
  <c r="C23" i="6"/>
  <c r="C24" i="6"/>
  <c r="C25" i="6"/>
  <c r="C26" i="6"/>
  <c r="C19" i="6"/>
  <c r="H12" i="6"/>
  <c r="H13" i="6"/>
  <c r="H14" i="6"/>
  <c r="H15" i="6"/>
  <c r="H16" i="6"/>
  <c r="H17" i="6"/>
  <c r="H18" i="6"/>
  <c r="H11" i="6"/>
  <c r="G12" i="6"/>
  <c r="S21" i="6" s="1"/>
  <c r="G13" i="6"/>
  <c r="G14" i="6"/>
  <c r="G15" i="6"/>
  <c r="G16" i="6"/>
  <c r="G17" i="6"/>
  <c r="G18" i="6"/>
  <c r="G11" i="6"/>
  <c r="S5" i="6" s="1"/>
  <c r="F12" i="6"/>
  <c r="F13" i="6"/>
  <c r="F14" i="6"/>
  <c r="F15" i="6"/>
  <c r="F16" i="6"/>
  <c r="F17" i="6"/>
  <c r="F18" i="6"/>
  <c r="F11" i="6"/>
  <c r="E12" i="6"/>
  <c r="E13" i="6"/>
  <c r="E14" i="6"/>
  <c r="E15" i="6"/>
  <c r="E16" i="6"/>
  <c r="E17" i="6"/>
  <c r="E18" i="6"/>
  <c r="E11" i="6"/>
  <c r="D12" i="6"/>
  <c r="D13" i="6"/>
  <c r="D14" i="6"/>
  <c r="D15" i="6"/>
  <c r="D16" i="6"/>
  <c r="D17" i="6"/>
  <c r="D18" i="6"/>
  <c r="D11" i="6"/>
  <c r="C12" i="6"/>
  <c r="C13" i="6"/>
  <c r="C14" i="6"/>
  <c r="C15" i="6"/>
  <c r="C16" i="6"/>
  <c r="C17" i="6"/>
  <c r="C18" i="6"/>
  <c r="C11" i="6"/>
  <c r="H4" i="6"/>
  <c r="H5" i="6"/>
  <c r="H6" i="6"/>
  <c r="H7" i="6"/>
  <c r="H8" i="6"/>
  <c r="H9" i="6"/>
  <c r="H10" i="6"/>
  <c r="H3" i="6"/>
  <c r="G4" i="6"/>
  <c r="G5" i="6"/>
  <c r="G6" i="6"/>
  <c r="G7" i="6"/>
  <c r="G8" i="6"/>
  <c r="G9" i="6"/>
  <c r="G10" i="6"/>
  <c r="G3" i="6"/>
  <c r="S20" i="6" s="1"/>
  <c r="F4" i="6"/>
  <c r="F5" i="6"/>
  <c r="F6" i="6"/>
  <c r="F7" i="6"/>
  <c r="F8" i="6"/>
  <c r="F9" i="6"/>
  <c r="F10" i="6"/>
  <c r="F3" i="6"/>
  <c r="E4" i="6"/>
  <c r="E5" i="6"/>
  <c r="E6" i="6"/>
  <c r="E7" i="6"/>
  <c r="E8" i="6"/>
  <c r="E9" i="6"/>
  <c r="E10" i="6"/>
  <c r="E3" i="6"/>
  <c r="R31" i="1"/>
  <c r="R29" i="1"/>
  <c r="Q31" i="1"/>
  <c r="R31" i="2"/>
  <c r="R29" i="2"/>
  <c r="Q31" i="2"/>
  <c r="R31" i="3"/>
  <c r="R29" i="3"/>
  <c r="Q31" i="3"/>
  <c r="R31" i="4"/>
  <c r="R29" i="4"/>
  <c r="Q31" i="4"/>
  <c r="R31" i="10"/>
  <c r="R29" i="10"/>
  <c r="Q31" i="10"/>
  <c r="R31" i="9"/>
  <c r="R29" i="9"/>
  <c r="Q31" i="9"/>
  <c r="U25" i="9"/>
  <c r="U24" i="9"/>
  <c r="U23" i="9"/>
  <c r="U22" i="9"/>
  <c r="U21" i="9"/>
  <c r="U20" i="9"/>
  <c r="U19" i="9"/>
  <c r="U18" i="9"/>
  <c r="U17" i="9"/>
  <c r="U16" i="9"/>
  <c r="U15" i="9"/>
  <c r="T25" i="9"/>
  <c r="T24" i="9"/>
  <c r="T23" i="9"/>
  <c r="T22" i="9"/>
  <c r="T21" i="9"/>
  <c r="T20" i="9"/>
  <c r="T19" i="9"/>
  <c r="T18" i="9"/>
  <c r="T17" i="9"/>
  <c r="T16" i="9"/>
  <c r="T15" i="9"/>
  <c r="S25" i="9"/>
  <c r="S24" i="9"/>
  <c r="S23" i="9"/>
  <c r="S22" i="9"/>
  <c r="S21" i="9"/>
  <c r="S20" i="9"/>
  <c r="S19" i="9"/>
  <c r="S18" i="9"/>
  <c r="S17" i="9"/>
  <c r="S16" i="9"/>
  <c r="S15" i="9"/>
  <c r="R25" i="9"/>
  <c r="R24" i="9"/>
  <c r="R23" i="9"/>
  <c r="R22" i="9"/>
  <c r="R21" i="9"/>
  <c r="R20" i="9"/>
  <c r="R19" i="9"/>
  <c r="R18" i="9"/>
  <c r="R17" i="9"/>
  <c r="R16" i="9"/>
  <c r="R15" i="9"/>
  <c r="Q25" i="9"/>
  <c r="Q24" i="9"/>
  <c r="Q23" i="9"/>
  <c r="Q22" i="9"/>
  <c r="Q21" i="9"/>
  <c r="Q20" i="9"/>
  <c r="Q19" i="9"/>
  <c r="Q18" i="9"/>
  <c r="Q17" i="9"/>
  <c r="Q16" i="9"/>
  <c r="Q15" i="9"/>
  <c r="U25" i="10"/>
  <c r="U24" i="10"/>
  <c r="U23" i="10"/>
  <c r="U22" i="10"/>
  <c r="U21" i="10"/>
  <c r="U20" i="10"/>
  <c r="U19" i="10"/>
  <c r="U18" i="10"/>
  <c r="U17" i="10"/>
  <c r="U16" i="10"/>
  <c r="U15" i="10"/>
  <c r="T25" i="10"/>
  <c r="T24" i="10"/>
  <c r="T23" i="10"/>
  <c r="T22" i="10"/>
  <c r="T21" i="10"/>
  <c r="T20" i="10"/>
  <c r="T19" i="10"/>
  <c r="T18" i="10"/>
  <c r="T17" i="10"/>
  <c r="T16" i="10"/>
  <c r="T15" i="10"/>
  <c r="S25" i="10"/>
  <c r="S24" i="10"/>
  <c r="S23" i="10"/>
  <c r="S22" i="10"/>
  <c r="S21" i="10"/>
  <c r="S20" i="10"/>
  <c r="S19" i="10"/>
  <c r="S18" i="10"/>
  <c r="S17" i="10"/>
  <c r="S16" i="10"/>
  <c r="S15" i="10"/>
  <c r="R25" i="10"/>
  <c r="R24" i="10"/>
  <c r="R23" i="10"/>
  <c r="R22" i="10"/>
  <c r="R21" i="10"/>
  <c r="R20" i="10"/>
  <c r="R19" i="10"/>
  <c r="R18" i="10"/>
  <c r="R17" i="10"/>
  <c r="R16" i="10"/>
  <c r="R15" i="10"/>
  <c r="Q25" i="10"/>
  <c r="Q24" i="10"/>
  <c r="Q23" i="10"/>
  <c r="Q22" i="10"/>
  <c r="Q21" i="10"/>
  <c r="Q20" i="10"/>
  <c r="Q19" i="10"/>
  <c r="Q18" i="10"/>
  <c r="Q17" i="10"/>
  <c r="Q16" i="10"/>
  <c r="Q15" i="10"/>
  <c r="U25" i="4"/>
  <c r="U24" i="4"/>
  <c r="U23" i="4"/>
  <c r="U22" i="4"/>
  <c r="U21" i="4"/>
  <c r="U20" i="4"/>
  <c r="U19" i="4"/>
  <c r="U18" i="4"/>
  <c r="U17" i="4"/>
  <c r="U16" i="4"/>
  <c r="U15" i="4"/>
  <c r="T25" i="4"/>
  <c r="T24" i="4"/>
  <c r="T23" i="4"/>
  <c r="T22" i="4"/>
  <c r="T21" i="4"/>
  <c r="T20" i="4"/>
  <c r="T19" i="4"/>
  <c r="T18" i="4"/>
  <c r="T17" i="4"/>
  <c r="T16" i="4"/>
  <c r="T15" i="4"/>
  <c r="S25" i="4"/>
  <c r="S24" i="4"/>
  <c r="S23" i="4"/>
  <c r="S22" i="4"/>
  <c r="S21" i="4"/>
  <c r="S20" i="4"/>
  <c r="S19" i="4"/>
  <c r="S18" i="4"/>
  <c r="S17" i="4"/>
  <c r="S16" i="4"/>
  <c r="S15" i="4"/>
  <c r="R25" i="4"/>
  <c r="R24" i="4"/>
  <c r="R23" i="4"/>
  <c r="R22" i="4"/>
  <c r="R21" i="4"/>
  <c r="R20" i="4"/>
  <c r="R19" i="4"/>
  <c r="R18" i="4"/>
  <c r="R17" i="4"/>
  <c r="R16" i="4"/>
  <c r="R15" i="4"/>
  <c r="Q25" i="4"/>
  <c r="Q24" i="4"/>
  <c r="Q23" i="4"/>
  <c r="Q22" i="4"/>
  <c r="Q21" i="4"/>
  <c r="Q20" i="4"/>
  <c r="Q19" i="4"/>
  <c r="Q18" i="4"/>
  <c r="Q17" i="4"/>
  <c r="Q16" i="4"/>
  <c r="Q15" i="4"/>
  <c r="Q25" i="3"/>
  <c r="Q24" i="3"/>
  <c r="Q23" i="3"/>
  <c r="Q22" i="3"/>
  <c r="Q21" i="3"/>
  <c r="Q20" i="3"/>
  <c r="Q19" i="3"/>
  <c r="Q18" i="3"/>
  <c r="Q17" i="3"/>
  <c r="Q16" i="3"/>
  <c r="Q15" i="3"/>
  <c r="U25" i="2"/>
  <c r="U24" i="2"/>
  <c r="U23" i="2"/>
  <c r="U22" i="2"/>
  <c r="U21" i="2"/>
  <c r="U20" i="2"/>
  <c r="U19" i="2"/>
  <c r="U18" i="2"/>
  <c r="U17" i="2"/>
  <c r="U16" i="2"/>
  <c r="U15" i="2"/>
  <c r="T25" i="2"/>
  <c r="T24" i="2"/>
  <c r="T23" i="2"/>
  <c r="T22" i="2"/>
  <c r="T21" i="2"/>
  <c r="T20" i="2"/>
  <c r="T19" i="2"/>
  <c r="T18" i="2"/>
  <c r="T17" i="2"/>
  <c r="T16" i="2"/>
  <c r="T15" i="2"/>
  <c r="S25" i="2"/>
  <c r="S24" i="2"/>
  <c r="S23" i="2"/>
  <c r="S22" i="2"/>
  <c r="S21" i="2"/>
  <c r="S20" i="2"/>
  <c r="S19" i="2"/>
  <c r="S18" i="2"/>
  <c r="S17" i="2"/>
  <c r="S16" i="2"/>
  <c r="S15" i="2"/>
  <c r="R25" i="2"/>
  <c r="R24" i="2"/>
  <c r="R23" i="2"/>
  <c r="R22" i="2"/>
  <c r="R21" i="2"/>
  <c r="R20" i="2"/>
  <c r="R19" i="2"/>
  <c r="R18" i="2"/>
  <c r="R17" i="2"/>
  <c r="R16" i="2"/>
  <c r="R15" i="2"/>
  <c r="Q25" i="2"/>
  <c r="Q24" i="2"/>
  <c r="Q23" i="2"/>
  <c r="Q22" i="2"/>
  <c r="Q21" i="2"/>
  <c r="Q20" i="2"/>
  <c r="Q15" i="2"/>
  <c r="D4" i="6"/>
  <c r="D5" i="6"/>
  <c r="D6" i="6"/>
  <c r="D7" i="6"/>
  <c r="D8" i="6"/>
  <c r="D9" i="6"/>
  <c r="D10" i="6"/>
  <c r="D3" i="6"/>
  <c r="M20" i="6" s="1"/>
  <c r="C4" i="6"/>
  <c r="C5" i="6"/>
  <c r="C6" i="6"/>
  <c r="C7" i="6"/>
  <c r="C8" i="6"/>
  <c r="C9" i="6"/>
  <c r="C10" i="6"/>
  <c r="C3" i="6"/>
  <c r="K20" i="6" s="1"/>
  <c r="T25" i="1"/>
  <c r="T24" i="1"/>
  <c r="T23" i="1"/>
  <c r="T22" i="1"/>
  <c r="T21" i="1"/>
  <c r="S25" i="1"/>
  <c r="S24" i="1"/>
  <c r="S23" i="1"/>
  <c r="S22" i="1"/>
  <c r="S21" i="1"/>
  <c r="U24" i="1"/>
  <c r="U25" i="1"/>
  <c r="U23" i="1"/>
  <c r="U22" i="1"/>
  <c r="U21" i="1"/>
  <c r="U20" i="1"/>
  <c r="U15" i="1"/>
  <c r="Q15" i="1"/>
  <c r="Q21" i="1"/>
  <c r="Q22" i="1"/>
  <c r="Q23" i="1"/>
  <c r="Q24" i="1"/>
  <c r="Q25" i="1"/>
  <c r="R24" i="1"/>
  <c r="R23" i="1"/>
  <c r="R22" i="1"/>
  <c r="R21" i="1"/>
  <c r="R20" i="1"/>
  <c r="S27" i="6" l="1"/>
  <c r="Q30" i="9"/>
  <c r="U22" i="6"/>
  <c r="U6" i="6"/>
  <c r="M23" i="6"/>
  <c r="O7" i="6"/>
  <c r="M24" i="6"/>
  <c r="Q8" i="6"/>
  <c r="U8" i="6"/>
  <c r="U24" i="6"/>
  <c r="O10" i="6"/>
  <c r="Q26" i="6"/>
  <c r="K27" i="6"/>
  <c r="Q27" i="6"/>
  <c r="K12" i="6"/>
  <c r="Q28" i="6"/>
  <c r="M13" i="6"/>
  <c r="Q29" i="6"/>
  <c r="U29" i="6"/>
  <c r="U13" i="6"/>
  <c r="M30" i="6"/>
  <c r="O14" i="6"/>
  <c r="Q30" i="6"/>
  <c r="Q14" i="6"/>
  <c r="U30" i="6"/>
  <c r="U14" i="6"/>
  <c r="S7" i="6"/>
  <c r="Q30" i="10"/>
  <c r="Q29" i="10" s="1"/>
  <c r="S29" i="10" s="1"/>
  <c r="S31" i="1"/>
  <c r="M21" i="6"/>
  <c r="S4" i="6"/>
  <c r="S8" i="6"/>
  <c r="S13" i="6"/>
  <c r="Q30" i="2"/>
  <c r="O20" i="6"/>
  <c r="Q20" i="6"/>
  <c r="Q4" i="6"/>
  <c r="U20" i="6"/>
  <c r="U4" i="6"/>
  <c r="K21" i="6"/>
  <c r="M5" i="6"/>
  <c r="O5" i="6"/>
  <c r="Q21" i="6"/>
  <c r="U21" i="6"/>
  <c r="U5" i="6"/>
  <c r="K22" i="6"/>
  <c r="M22" i="6"/>
  <c r="O6" i="6"/>
  <c r="Q22" i="6"/>
  <c r="Q7" i="6"/>
  <c r="U23" i="6"/>
  <c r="U7" i="6"/>
  <c r="K24" i="6"/>
  <c r="O8" i="6"/>
  <c r="K10" i="6"/>
  <c r="M26" i="6"/>
  <c r="S26" i="6"/>
  <c r="U26" i="6"/>
  <c r="U10" i="6"/>
  <c r="M27" i="6"/>
  <c r="O27" i="6"/>
  <c r="U11" i="6"/>
  <c r="U27" i="6"/>
  <c r="M28" i="6"/>
  <c r="O12" i="6"/>
  <c r="U12" i="6"/>
  <c r="U28" i="6"/>
  <c r="K29" i="6"/>
  <c r="O13" i="6"/>
  <c r="K30" i="6"/>
  <c r="S14" i="6"/>
  <c r="S30" i="6"/>
  <c r="S12" i="6"/>
  <c r="Q30" i="4"/>
  <c r="S10" i="6"/>
  <c r="Q29" i="9"/>
  <c r="S29" i="9" s="1"/>
  <c r="S31" i="9"/>
  <c r="U25" i="6"/>
  <c r="U9" i="6"/>
  <c r="S9" i="6"/>
  <c r="AK5" i="6" s="1"/>
  <c r="AK7" i="6" s="1"/>
  <c r="S31" i="10"/>
  <c r="S25" i="6"/>
  <c r="Q9" i="6"/>
  <c r="S31" i="4"/>
  <c r="R30" i="3"/>
  <c r="S31" i="3"/>
  <c r="O9" i="6"/>
  <c r="AI5" i="6" s="1"/>
  <c r="AI7" i="6" s="1"/>
  <c r="S31" i="2"/>
  <c r="M25" i="6"/>
  <c r="K25" i="6"/>
  <c r="K7" i="6"/>
  <c r="M6" i="6"/>
  <c r="K8" i="6"/>
  <c r="M7" i="6"/>
  <c r="O4" i="6"/>
  <c r="O21" i="6"/>
  <c r="O29" i="6"/>
  <c r="Q11" i="6"/>
  <c r="Q24" i="6"/>
  <c r="K9" i="6"/>
  <c r="M8" i="6"/>
  <c r="O22" i="6"/>
  <c r="O30" i="6"/>
  <c r="Q12" i="6"/>
  <c r="Q25" i="6"/>
  <c r="K11" i="6"/>
  <c r="M9" i="6"/>
  <c r="K26" i="6"/>
  <c r="Y16" i="6"/>
  <c r="O23" i="6"/>
  <c r="AA16" i="6"/>
  <c r="Q5" i="6"/>
  <c r="Q13" i="6"/>
  <c r="Q23" i="6"/>
  <c r="K13" i="6"/>
  <c r="M10" i="6"/>
  <c r="O24" i="6"/>
  <c r="Q6" i="6"/>
  <c r="K14" i="6"/>
  <c r="M11" i="6"/>
  <c r="K28" i="6"/>
  <c r="M4" i="6"/>
  <c r="O25" i="6"/>
  <c r="K5" i="6"/>
  <c r="M12" i="6"/>
  <c r="O26" i="6"/>
  <c r="K6" i="6"/>
  <c r="R30" i="9"/>
  <c r="S30" i="9" s="1"/>
  <c r="R30" i="10"/>
  <c r="S30" i="10" s="1"/>
  <c r="W29" i="10" s="1"/>
  <c r="R30" i="4"/>
  <c r="S30" i="4" s="1"/>
  <c r="W29" i="4" s="1"/>
  <c r="V29" i="3"/>
  <c r="R30" i="2"/>
  <c r="S30" i="2" s="1"/>
  <c r="W29" i="2" s="1"/>
  <c r="R30" i="1"/>
  <c r="Q29" i="2"/>
  <c r="S29" i="2" s="1"/>
  <c r="Q29" i="4"/>
  <c r="S29" i="4" s="1"/>
  <c r="Y6" i="6" l="1"/>
  <c r="AC6" i="6"/>
  <c r="AC8" i="6" s="1"/>
  <c r="AC12" i="6" s="1"/>
  <c r="AC28" i="6" s="1"/>
  <c r="AC31" i="6" s="1"/>
  <c r="AG18" i="6"/>
  <c r="Z6" i="6"/>
  <c r="Z8" i="6" s="1"/>
  <c r="Z12" i="6" s="1"/>
  <c r="AD6" i="6"/>
  <c r="AD8" i="6" s="1"/>
  <c r="AD12" i="6" s="1"/>
  <c r="AB6" i="6"/>
  <c r="AA6" i="6"/>
  <c r="AA8" i="6" s="1"/>
  <c r="AA12" i="6" s="1"/>
  <c r="AG19" i="6"/>
  <c r="AD2" i="6"/>
  <c r="AD11" i="6" s="1"/>
  <c r="AH23" i="6" s="1"/>
  <c r="AG23" i="6"/>
  <c r="AL5" i="6"/>
  <c r="AL7" i="6" s="1"/>
  <c r="AL4" i="6"/>
  <c r="AL6" i="6" s="1"/>
  <c r="AG22" i="6"/>
  <c r="AC2" i="6"/>
  <c r="AC11" i="6" s="1"/>
  <c r="AC3" i="6"/>
  <c r="AC15" i="6" s="1"/>
  <c r="AC9" i="6" s="1"/>
  <c r="AC25" i="6" s="1"/>
  <c r="AK4" i="6"/>
  <c r="AK6" i="6" s="1"/>
  <c r="AJ5" i="6"/>
  <c r="AJ7" i="6" s="1"/>
  <c r="AG21" i="6"/>
  <c r="AJ4" i="6"/>
  <c r="AJ6" i="6" s="1"/>
  <c r="AB8" i="6"/>
  <c r="AB12" i="6" s="1"/>
  <c r="AG20" i="6"/>
  <c r="AI4" i="6"/>
  <c r="AI6" i="6" s="1"/>
  <c r="Y8" i="6"/>
  <c r="Y12" i="6" s="1"/>
  <c r="AC19" i="6"/>
  <c r="AA3" i="6"/>
  <c r="AA2" i="6"/>
  <c r="AA11" i="6" s="1"/>
  <c r="AH20" i="6" s="1"/>
  <c r="AH5" i="6"/>
  <c r="AH7" i="6" s="1"/>
  <c r="AH4" i="6"/>
  <c r="AH6" i="6" s="1"/>
  <c r="Z3" i="6"/>
  <c r="Z2" i="6"/>
  <c r="Z11" i="6" s="1"/>
  <c r="AG4" i="6"/>
  <c r="AG6" i="6" s="1"/>
  <c r="AG5" i="6"/>
  <c r="AG7" i="6" s="1"/>
  <c r="Y3" i="6"/>
  <c r="Y2" i="6"/>
  <c r="Y11" i="6" s="1"/>
  <c r="AH18" i="6" s="1"/>
  <c r="AB2" i="6"/>
  <c r="AB11" i="6" s="1"/>
  <c r="AH21" i="6" s="1"/>
  <c r="AB3" i="6"/>
  <c r="W29" i="9"/>
  <c r="X29" i="9"/>
  <c r="V29" i="9"/>
  <c r="T29" i="9"/>
  <c r="U29" i="9" s="1"/>
  <c r="X29" i="10"/>
  <c r="V29" i="10"/>
  <c r="T29" i="10"/>
  <c r="U29" i="10" s="1"/>
  <c r="T29" i="4"/>
  <c r="U29" i="4" s="1"/>
  <c r="X29" i="4"/>
  <c r="V29" i="4"/>
  <c r="X29" i="2"/>
  <c r="T29" i="2"/>
  <c r="U29" i="2" s="1"/>
  <c r="V29" i="2"/>
  <c r="V29" i="1"/>
  <c r="AH19" i="6" l="1"/>
  <c r="AI19" i="6" s="1"/>
  <c r="AC26" i="6"/>
  <c r="AH22" i="6"/>
  <c r="AI22" i="6" s="1"/>
  <c r="AD15" i="6"/>
  <c r="AD9" i="6" s="1"/>
  <c r="AD19" i="6"/>
  <c r="AD28" i="6"/>
  <c r="AD31" i="6" s="1"/>
  <c r="AD26" i="6"/>
  <c r="AC10" i="6"/>
  <c r="AC13" i="6" s="1"/>
  <c r="AB15" i="6"/>
  <c r="AB9" i="6" s="1"/>
  <c r="AB25" i="6" s="1"/>
  <c r="AI21" i="6"/>
  <c r="AI20" i="6"/>
  <c r="AA15" i="6"/>
  <c r="AA9" i="6" s="1"/>
  <c r="AA25" i="6" s="1"/>
  <c r="AB19" i="6"/>
  <c r="Y28" i="6"/>
  <c r="Y26" i="6"/>
  <c r="AI18" i="6"/>
  <c r="Z28" i="6"/>
  <c r="Y31" i="6" s="1"/>
  <c r="Z26" i="6"/>
  <c r="AB21" i="6"/>
  <c r="AA26" i="6"/>
  <c r="AA28" i="6"/>
  <c r="Z15" i="6"/>
  <c r="Y15" i="6"/>
  <c r="Y9" i="6" s="1"/>
  <c r="AB28" i="6"/>
  <c r="AB26" i="6"/>
  <c r="AD25" i="6" l="1"/>
  <c r="AD10" i="6"/>
  <c r="AD13" i="6" s="1"/>
  <c r="AC27" i="6"/>
  <c r="AC29" i="6"/>
  <c r="AC32" i="6" s="1"/>
  <c r="AC20" i="6"/>
  <c r="AB10" i="6"/>
  <c r="AB13" i="6" s="1"/>
  <c r="AB27" i="6" s="1"/>
  <c r="AA10" i="6"/>
  <c r="AA13" i="6" s="1"/>
  <c r="AA29" i="6" s="1"/>
  <c r="AA31" i="6"/>
  <c r="Y25" i="6"/>
  <c r="Y10" i="6"/>
  <c r="Y13" i="6" s="1"/>
  <c r="AD29" i="6" l="1"/>
  <c r="AD32" i="6" s="1"/>
  <c r="AI23" i="6"/>
  <c r="AD27" i="6"/>
  <c r="AD20" i="6"/>
  <c r="AB29" i="6"/>
  <c r="AA32" i="6" s="1"/>
  <c r="AA27" i="6"/>
  <c r="AB22" i="6"/>
  <c r="Y29" i="6"/>
  <c r="Y27" i="6"/>
  <c r="M12" i="9" l="1"/>
  <c r="M12" i="10"/>
  <c r="M12" i="4"/>
  <c r="M12" i="3"/>
  <c r="M12" i="2"/>
  <c r="M12" i="1"/>
  <c r="J12" i="9" l="1"/>
  <c r="K12" i="9"/>
  <c r="L12" i="9"/>
  <c r="J12" i="10"/>
  <c r="K12" i="10"/>
  <c r="L12" i="10"/>
  <c r="J12" i="4"/>
  <c r="K12" i="4"/>
  <c r="L12" i="4"/>
  <c r="U24" i="3"/>
  <c r="T24" i="3"/>
  <c r="S24" i="3"/>
  <c r="R24" i="3"/>
  <c r="J12" i="3"/>
  <c r="K12" i="3"/>
  <c r="L12" i="3"/>
  <c r="J12" i="2"/>
  <c r="K12" i="2"/>
  <c r="L12" i="2"/>
  <c r="J12" i="1"/>
  <c r="K12" i="1"/>
  <c r="L12" i="1"/>
  <c r="R25" i="1" s="1"/>
  <c r="G12" i="9"/>
  <c r="I12" i="9"/>
  <c r="H12" i="9"/>
  <c r="F12" i="9"/>
  <c r="E12" i="9"/>
  <c r="D12" i="9"/>
  <c r="C12" i="9"/>
  <c r="I12" i="10"/>
  <c r="H12" i="10"/>
  <c r="G12" i="10"/>
  <c r="F12" i="10"/>
  <c r="E12" i="10"/>
  <c r="D12" i="10"/>
  <c r="C12" i="10"/>
  <c r="T25" i="3" l="1"/>
  <c r="R25" i="3"/>
  <c r="S25" i="3"/>
  <c r="U25" i="3"/>
  <c r="V25" i="10" l="1"/>
  <c r="V19" i="10" l="1"/>
  <c r="V18" i="10"/>
  <c r="V15" i="10"/>
  <c r="V17" i="10"/>
  <c r="V16" i="10"/>
  <c r="V24" i="9"/>
  <c r="V15" i="9"/>
  <c r="X15" i="9" s="1"/>
  <c r="V23" i="9"/>
  <c r="W23" i="9" s="1"/>
  <c r="V22" i="9"/>
  <c r="W22" i="9" s="1"/>
  <c r="V19" i="9"/>
  <c r="V17" i="9"/>
  <c r="V25" i="9"/>
  <c r="X25" i="9" s="1"/>
  <c r="V21" i="9"/>
  <c r="X21" i="9" s="1"/>
  <c r="V20" i="9"/>
  <c r="W20" i="9" s="1"/>
  <c r="V16" i="9"/>
  <c r="W16" i="9" s="1"/>
  <c r="W15" i="9"/>
  <c r="V18" i="9"/>
  <c r="W18" i="9" s="1"/>
  <c r="W19" i="9"/>
  <c r="W17" i="9"/>
  <c r="X25" i="10"/>
  <c r="W25" i="10"/>
  <c r="X24" i="9"/>
  <c r="W24" i="9"/>
  <c r="V22" i="10"/>
  <c r="V23" i="10"/>
  <c r="V24" i="10"/>
  <c r="V21" i="10"/>
  <c r="V20" i="10"/>
  <c r="X16" i="9" l="1"/>
  <c r="W21" i="9"/>
  <c r="X22" i="9"/>
  <c r="X18" i="9"/>
  <c r="W25" i="9"/>
  <c r="X20" i="9"/>
  <c r="X17" i="9"/>
  <c r="X19" i="9"/>
  <c r="X23" i="9"/>
  <c r="W22" i="10"/>
  <c r="X22" i="10"/>
  <c r="X24" i="10"/>
  <c r="W24" i="10"/>
  <c r="W23" i="10"/>
  <c r="X23" i="10"/>
  <c r="W21" i="10"/>
  <c r="X21" i="10"/>
  <c r="X17" i="10"/>
  <c r="W17" i="10"/>
  <c r="W19" i="10"/>
  <c r="X19" i="10"/>
  <c r="X20" i="10"/>
  <c r="W20" i="10"/>
  <c r="X15" i="10"/>
  <c r="W15" i="10"/>
  <c r="X16" i="10"/>
  <c r="W16" i="10"/>
  <c r="X18" i="10"/>
  <c r="W18" i="10"/>
  <c r="D12" i="4" l="1"/>
  <c r="E12" i="4"/>
  <c r="F12" i="4"/>
  <c r="G12" i="4"/>
  <c r="H12" i="4"/>
  <c r="I12" i="4"/>
  <c r="C12" i="4"/>
  <c r="D12" i="3"/>
  <c r="E12" i="3"/>
  <c r="F12" i="3"/>
  <c r="G12" i="3"/>
  <c r="H12" i="3"/>
  <c r="I12" i="3"/>
  <c r="C12" i="3"/>
  <c r="D12" i="2"/>
  <c r="E12" i="2"/>
  <c r="F12" i="2"/>
  <c r="G12" i="2"/>
  <c r="H12" i="2"/>
  <c r="I12" i="2"/>
  <c r="C12" i="2"/>
  <c r="D12" i="1"/>
  <c r="E12" i="1"/>
  <c r="F12" i="1"/>
  <c r="G12" i="1"/>
  <c r="H12" i="1"/>
  <c r="I12" i="1"/>
  <c r="C12" i="1"/>
  <c r="S23" i="3" l="1"/>
  <c r="R23" i="3"/>
  <c r="R22" i="3"/>
  <c r="T22" i="3"/>
  <c r="S22" i="3"/>
  <c r="U22" i="3"/>
  <c r="T23" i="3"/>
  <c r="U23" i="3"/>
  <c r="Z17" i="6"/>
  <c r="Z9" i="6" s="1"/>
  <c r="Z25" i="6" l="1"/>
  <c r="Z10" i="6"/>
  <c r="Z13" i="6" s="1"/>
  <c r="AB20" i="6" s="1"/>
  <c r="Z29" i="6" l="1"/>
  <c r="Y32" i="6" s="1"/>
  <c r="Z27" i="6"/>
  <c r="U21" i="3"/>
  <c r="T21" i="3"/>
  <c r="S21" i="3"/>
  <c r="R21" i="3"/>
  <c r="U20" i="3"/>
  <c r="T20" i="3"/>
  <c r="S20" i="3"/>
  <c r="R20" i="3"/>
  <c r="U19" i="3"/>
  <c r="T19" i="3"/>
  <c r="S19" i="3"/>
  <c r="R19" i="3"/>
  <c r="U18" i="3"/>
  <c r="T18" i="3"/>
  <c r="S18" i="3"/>
  <c r="R18" i="3"/>
  <c r="U17" i="3"/>
  <c r="T17" i="3"/>
  <c r="S17" i="3"/>
  <c r="R17" i="3"/>
  <c r="U16" i="3"/>
  <c r="T16" i="3"/>
  <c r="S16" i="3"/>
  <c r="R16" i="3"/>
  <c r="U15" i="3"/>
  <c r="T15" i="3"/>
  <c r="S15" i="3"/>
  <c r="R15" i="3"/>
  <c r="Q19" i="2"/>
  <c r="Q18" i="2"/>
  <c r="Q17" i="2"/>
  <c r="Q16" i="2"/>
  <c r="Q30" i="3" l="1"/>
  <c r="Q29" i="3" s="1"/>
  <c r="S29" i="3" s="1"/>
  <c r="S30" i="3"/>
  <c r="U19" i="1"/>
  <c r="U18" i="1"/>
  <c r="U17" i="1"/>
  <c r="U16" i="1"/>
  <c r="T20" i="1"/>
  <c r="T19" i="1"/>
  <c r="T18" i="1"/>
  <c r="T17" i="1"/>
  <c r="T16" i="1"/>
  <c r="T15" i="1"/>
  <c r="S20" i="1"/>
  <c r="S19" i="1"/>
  <c r="S18" i="1"/>
  <c r="S17" i="1"/>
  <c r="S16" i="1"/>
  <c r="S15" i="1"/>
  <c r="R19" i="1"/>
  <c r="R18" i="1"/>
  <c r="R17" i="1"/>
  <c r="R16" i="1"/>
  <c r="R15" i="1"/>
  <c r="Q20" i="1"/>
  <c r="Q19" i="1"/>
  <c r="Q18" i="1"/>
  <c r="Q17" i="1"/>
  <c r="Q16" i="1"/>
  <c r="Q30" i="1" l="1"/>
  <c r="T29" i="3"/>
  <c r="U29" i="3" s="1"/>
  <c r="W29" i="3"/>
  <c r="X29" i="3"/>
  <c r="V25" i="3"/>
  <c r="V25" i="2"/>
  <c r="X25" i="2" s="1"/>
  <c r="Q29" i="1" l="1"/>
  <c r="S29" i="1" s="1"/>
  <c r="S30" i="1"/>
  <c r="V19" i="4"/>
  <c r="V17" i="4"/>
  <c r="W17" i="4" s="1"/>
  <c r="V18" i="4"/>
  <c r="V25" i="4"/>
  <c r="V24" i="4"/>
  <c r="V16" i="4"/>
  <c r="V23" i="4"/>
  <c r="V15" i="4"/>
  <c r="V21" i="4"/>
  <c r="V22" i="4"/>
  <c r="V20" i="4"/>
  <c r="X25" i="3"/>
  <c r="W25" i="3"/>
  <c r="W25" i="2"/>
  <c r="V17" i="3"/>
  <c r="W17" i="3" s="1"/>
  <c r="V24" i="3"/>
  <c r="V23" i="3"/>
  <c r="V22" i="3"/>
  <c r="V20" i="2"/>
  <c r="W20" i="2" s="1"/>
  <c r="V22" i="2"/>
  <c r="X22" i="2" s="1"/>
  <c r="V23" i="2"/>
  <c r="X23" i="2" s="1"/>
  <c r="V24" i="2"/>
  <c r="X24" i="2" s="1"/>
  <c r="V18" i="3"/>
  <c r="X18" i="3" s="1"/>
  <c r="V19" i="3"/>
  <c r="W19" i="3" s="1"/>
  <c r="V20" i="3"/>
  <c r="W20" i="3" s="1"/>
  <c r="V21" i="3"/>
  <c r="W21" i="3" s="1"/>
  <c r="V15" i="3"/>
  <c r="W15" i="3" s="1"/>
  <c r="V16" i="3"/>
  <c r="W16" i="3" s="1"/>
  <c r="V18" i="2"/>
  <c r="X18" i="2" s="1"/>
  <c r="V21" i="2"/>
  <c r="X21" i="2" s="1"/>
  <c r="V19" i="2"/>
  <c r="W19" i="2" s="1"/>
  <c r="V17" i="2"/>
  <c r="W17" i="2" s="1"/>
  <c r="V16" i="2"/>
  <c r="V15" i="2"/>
  <c r="X29" i="1" l="1"/>
  <c r="W29" i="1"/>
  <c r="T29" i="1"/>
  <c r="U29" i="1" s="1"/>
  <c r="W23" i="4"/>
  <c r="X23" i="4"/>
  <c r="X25" i="4"/>
  <c r="W25" i="4"/>
  <c r="W16" i="4"/>
  <c r="X16" i="4"/>
  <c r="W24" i="4"/>
  <c r="X24" i="4"/>
  <c r="X20" i="4"/>
  <c r="W20" i="4"/>
  <c r="W18" i="4"/>
  <c r="X18" i="4"/>
  <c r="X22" i="4"/>
  <c r="W22" i="4"/>
  <c r="X19" i="4"/>
  <c r="W19" i="4"/>
  <c r="X21" i="4"/>
  <c r="W21" i="4"/>
  <c r="W15" i="4"/>
  <c r="X15" i="4"/>
  <c r="X17" i="4"/>
  <c r="V19" i="1"/>
  <c r="W19" i="1" s="1"/>
  <c r="V25" i="1"/>
  <c r="X25" i="1" s="1"/>
  <c r="X17" i="3"/>
  <c r="X22" i="3"/>
  <c r="W22" i="3"/>
  <c r="W24" i="3"/>
  <c r="X24" i="3"/>
  <c r="X23" i="3"/>
  <c r="W23" i="3"/>
  <c r="W24" i="2"/>
  <c r="W23" i="2"/>
  <c r="W22" i="2"/>
  <c r="X20" i="2"/>
  <c r="V23" i="1"/>
  <c r="V24" i="1"/>
  <c r="V22" i="1"/>
  <c r="V21" i="1"/>
  <c r="X21" i="3"/>
  <c r="X19" i="3"/>
  <c r="X20" i="3"/>
  <c r="X16" i="3"/>
  <c r="W18" i="3"/>
  <c r="X15" i="3"/>
  <c r="W18" i="2"/>
  <c r="X17" i="2"/>
  <c r="W21" i="2"/>
  <c r="X16" i="2"/>
  <c r="W16" i="2"/>
  <c r="X19" i="2"/>
  <c r="X15" i="2"/>
  <c r="W15" i="2"/>
  <c r="V18" i="1"/>
  <c r="W18" i="1" s="1"/>
  <c r="V17" i="1"/>
  <c r="X17" i="1" s="1"/>
  <c r="V20" i="1"/>
  <c r="X20" i="1" s="1"/>
  <c r="V16" i="1"/>
  <c r="W16" i="1" s="1"/>
  <c r="V15" i="1"/>
  <c r="X15" i="1" s="1"/>
  <c r="X19" i="1" l="1"/>
  <c r="W25" i="1"/>
  <c r="W22" i="1"/>
  <c r="X22" i="1"/>
  <c r="W24" i="1"/>
  <c r="X24" i="1"/>
  <c r="X23" i="1"/>
  <c r="W23" i="1"/>
  <c r="W21" i="1"/>
  <c r="X21" i="1"/>
  <c r="X18" i="1"/>
  <c r="W17" i="1"/>
  <c r="W15" i="1"/>
  <c r="X16" i="1"/>
  <c r="W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Jennifer</author>
  </authors>
  <commentList>
    <comment ref="B12" authorId="0" shapeId="0" xr:uid="{6E512E60-2F2C-4D14-AA6C-80EFF141DE92}">
      <text>
        <r>
          <rPr>
            <b/>
            <sz val="9"/>
            <color indexed="81"/>
            <rFont val="Tahoma"/>
            <family val="2"/>
          </rPr>
          <t>Jones, Jennifer:</t>
        </r>
        <r>
          <rPr>
            <sz val="9"/>
            <color indexed="81"/>
            <rFont val="Tahoma"/>
            <family val="2"/>
          </rPr>
          <t xml:space="preserve">
have sent a letter to import to explain the paperwork situation</t>
        </r>
      </text>
    </comment>
    <comment ref="B18" authorId="0" shapeId="0" xr:uid="{95ADCBFF-BA04-4CB1-A959-D07EFEE9FCF1}">
      <text>
        <r>
          <rPr>
            <b/>
            <sz val="9"/>
            <color indexed="81"/>
            <rFont val="Tahoma"/>
            <family val="2"/>
          </rPr>
          <t>Jones, Jennifer:</t>
        </r>
        <r>
          <rPr>
            <sz val="9"/>
            <color indexed="81"/>
            <rFont val="Tahoma"/>
            <family val="2"/>
          </rPr>
          <t xml:space="preserve">
Kent has submitted a revised invoice</t>
        </r>
      </text>
    </comment>
  </commentList>
</comments>
</file>

<file path=xl/sharedStrings.xml><?xml version="1.0" encoding="utf-8"?>
<sst xmlns="http://schemas.openxmlformats.org/spreadsheetml/2006/main" count="610" uniqueCount="190">
  <si>
    <t>Lab</t>
  </si>
  <si>
    <t>The Pesticide Control Laboratory</t>
  </si>
  <si>
    <t>Olga Novakova</t>
  </si>
  <si>
    <t>Day 1</t>
  </si>
  <si>
    <t>Day 2</t>
  </si>
  <si>
    <t>Description</t>
  </si>
  <si>
    <t>Count</t>
  </si>
  <si>
    <t>Sum</t>
  </si>
  <si>
    <t>Mean</t>
  </si>
  <si>
    <t>Variance</t>
  </si>
  <si>
    <t>SS</t>
  </si>
  <si>
    <t>Group</t>
  </si>
  <si>
    <t>Lab 1</t>
  </si>
  <si>
    <t>Lab 2</t>
  </si>
  <si>
    <t>Lab 3</t>
  </si>
  <si>
    <t>Lab 4</t>
  </si>
  <si>
    <t>Lab 5</t>
  </si>
  <si>
    <t>Lab 6</t>
  </si>
  <si>
    <t>Std Err</t>
  </si>
  <si>
    <t>Lower</t>
  </si>
  <si>
    <t>Upper</t>
  </si>
  <si>
    <t>Alpha</t>
  </si>
  <si>
    <t>ANOVA</t>
  </si>
  <si>
    <t>Sources</t>
  </si>
  <si>
    <t>df</t>
  </si>
  <si>
    <t>MS</t>
  </si>
  <si>
    <t>F</t>
  </si>
  <si>
    <t>P Value</t>
  </si>
  <si>
    <t>F crit</t>
  </si>
  <si>
    <t>RMSSE</t>
  </si>
  <si>
    <t>Omega Sq</t>
  </si>
  <si>
    <t>Between Groups</t>
  </si>
  <si>
    <t>Within Groups</t>
  </si>
  <si>
    <t>Total</t>
  </si>
  <si>
    <r>
      <t>Lab (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</si>
  <si>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t>TC1</t>
  </si>
  <si>
    <t>TC2</t>
  </si>
  <si>
    <t>SC1</t>
  </si>
  <si>
    <t>SC2</t>
  </si>
  <si>
    <r>
      <t xml:space="preserve">Level </t>
    </r>
    <r>
      <rPr>
        <i/>
        <sz val="11"/>
        <color theme="1"/>
        <rFont val="Calibri"/>
        <family val="2"/>
        <scheme val="minor"/>
      </rPr>
      <t>j</t>
    </r>
  </si>
  <si>
    <r>
      <t>s</t>
    </r>
    <r>
      <rPr>
        <vertAlign val="subscript"/>
        <sz val="11"/>
        <color theme="1"/>
        <rFont val="Calibri"/>
        <family val="2"/>
        <scheme val="minor"/>
      </rPr>
      <t>ij</t>
    </r>
  </si>
  <si>
    <r>
      <t>n</t>
    </r>
    <r>
      <rPr>
        <vertAlign val="subscript"/>
        <sz val="11"/>
        <color theme="1"/>
        <rFont val="Calibri"/>
        <family val="2"/>
        <scheme val="minor"/>
      </rPr>
      <t>ij</t>
    </r>
  </si>
  <si>
    <r>
      <t>y</t>
    </r>
    <r>
      <rPr>
        <vertAlign val="subscript"/>
        <sz val="11"/>
        <color theme="1"/>
        <rFont val="Calibri"/>
        <family val="2"/>
        <scheme val="minor"/>
      </rPr>
      <t>ij</t>
    </r>
  </si>
  <si>
    <t>Means</t>
  </si>
  <si>
    <t>Std. Dev</t>
  </si>
  <si>
    <t>T1</t>
  </si>
  <si>
    <t>T2</t>
  </si>
  <si>
    <t>T3</t>
  </si>
  <si>
    <t>T4</t>
  </si>
  <si>
    <t>T5</t>
  </si>
  <si>
    <r>
      <t>s</t>
    </r>
    <r>
      <rPr>
        <vertAlign val="subscript"/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</si>
  <si>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p</t>
  </si>
  <si>
    <r>
      <t>s</t>
    </r>
    <r>
      <rPr>
        <vertAlign val="subscript"/>
        <sz val="11"/>
        <color theme="1"/>
        <rFont val="Calibri"/>
        <family val="2"/>
        <scheme val="minor"/>
      </rPr>
      <t>L</t>
    </r>
    <r>
      <rPr>
        <vertAlign val="superscript"/>
        <sz val="11"/>
        <color theme="1"/>
        <rFont val="Calibri"/>
        <family val="2"/>
        <scheme val="minor"/>
      </rPr>
      <t>2</t>
    </r>
  </si>
  <si>
    <t>T2T3-T1^2</t>
  </si>
  <si>
    <t>T3(p-1)</t>
  </si>
  <si>
    <t>T3^2-T4</t>
  </si>
  <si>
    <r>
      <t>s</t>
    </r>
    <r>
      <rPr>
        <vertAlign val="subscript"/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</si>
  <si>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m</t>
  </si>
  <si>
    <r>
      <t>S</t>
    </r>
    <r>
      <rPr>
        <vertAlign val="subscript"/>
        <sz val="11"/>
        <color theme="1"/>
        <rFont val="Calibri"/>
        <family val="2"/>
        <scheme val="minor"/>
      </rPr>
      <t>r</t>
    </r>
  </si>
  <si>
    <r>
      <t>S</t>
    </r>
    <r>
      <rPr>
        <vertAlign val="superscript"/>
        <sz val="11"/>
        <color theme="1"/>
        <rFont val="Calibri"/>
        <family val="2"/>
        <scheme val="minor"/>
      </rPr>
      <t>R</t>
    </r>
  </si>
  <si>
    <t>reproducibility standard deviation for TC</t>
  </si>
  <si>
    <t>reproducibility standard deviation for SC</t>
  </si>
  <si>
    <t>Critical values for Grubbs' Test</t>
  </si>
  <si>
    <t>Upper 1%</t>
  </si>
  <si>
    <t>Upper 5%</t>
  </si>
  <si>
    <t>Lowest value</t>
  </si>
  <si>
    <t>Highest value</t>
  </si>
  <si>
    <r>
      <t>G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(smallest value)</t>
    </r>
  </si>
  <si>
    <r>
      <t>G</t>
    </r>
    <r>
      <rPr>
        <vertAlign val="subscript"/>
        <sz val="11"/>
        <color theme="1"/>
        <rFont val="Calibri"/>
        <family val="2"/>
        <scheme val="minor"/>
      </rPr>
      <t xml:space="preserve">p </t>
    </r>
    <r>
      <rPr>
        <sz val="11"/>
        <color theme="1"/>
        <rFont val="Calibri"/>
        <family val="2"/>
        <scheme val="minor"/>
      </rPr>
      <t>(largest value)</t>
    </r>
  </si>
  <si>
    <t>repeatability standard deviation for SC</t>
  </si>
  <si>
    <t>Average</t>
  </si>
  <si>
    <t>%RSD</t>
  </si>
  <si>
    <t>Horwitz value</t>
  </si>
  <si>
    <t>Ratio</t>
  </si>
  <si>
    <t>CoA</t>
  </si>
  <si>
    <t>nominal</t>
  </si>
  <si>
    <r>
      <t>S</t>
    </r>
    <r>
      <rPr>
        <vertAlign val="subscript"/>
        <sz val="11"/>
        <color theme="1"/>
        <rFont val="Calibri"/>
        <family val="2"/>
        <scheme val="minor"/>
      </rPr>
      <t>L</t>
    </r>
  </si>
  <si>
    <r>
      <t>RSD</t>
    </r>
    <r>
      <rPr>
        <vertAlign val="subscript"/>
        <sz val="11"/>
        <color theme="1"/>
        <rFont val="Calibri"/>
        <family val="2"/>
        <scheme val="minor"/>
      </rPr>
      <t>r</t>
    </r>
  </si>
  <si>
    <r>
      <t>RSD</t>
    </r>
    <r>
      <rPr>
        <vertAlign val="subscript"/>
        <sz val="11"/>
        <color theme="1"/>
        <rFont val="Calibri"/>
        <family val="2"/>
        <scheme val="minor"/>
      </rPr>
      <t>R</t>
    </r>
  </si>
  <si>
    <t>R</t>
  </si>
  <si>
    <t>r</t>
  </si>
  <si>
    <t>average r</t>
  </si>
  <si>
    <t>average R</t>
  </si>
  <si>
    <t>0059823098410 - 211</t>
  </si>
  <si>
    <t>Mr. Francisco Canzani
Laboratorio de Formulaciones de Plaguicidas
División Análisis y Diagnóstico
Dirección General de Servicios Agrícolas
Ministerio de Ganadería Agricultura y Pesca
Avenida Millán 4703 esq. Vedia
C.P.:12900
Montevideo
Uruguay</t>
  </si>
  <si>
    <t>Laboratory of Formulate Pesticides of the Ministerio de Ganadería Agricultura y Pesca</t>
  </si>
  <si>
    <t>Fiorella Baccino</t>
  </si>
  <si>
    <t>fbaccino@mgap.gub.uy</t>
  </si>
  <si>
    <t>X</t>
  </si>
  <si>
    <t xml:space="preserve">32 (0)81 87 40 06 </t>
  </si>
  <si>
    <t>Walloon Agricultural Research Centre (CRA-W)
Agriculture and Natural Environment Department (D3)
Plant Protection Products and Biocides Physico-chemistry and Residues Unit (U10)
Carson Building
Rue du Bordia, 11
B-5030 GEMBLOUX
BELGIUM</t>
  </si>
  <si>
    <t>Walloon Agricultural Research Centre (CRA-W)</t>
  </si>
  <si>
    <t>Bernard de Ryckel</t>
  </si>
  <si>
    <t>b.deryckel@cra.wallonie.be</t>
  </si>
  <si>
    <t>Use special instructions in email</t>
  </si>
  <si>
    <t>375.01643.37461</t>
  </si>
  <si>
    <t>Frandesa Co., Ltd
1, Bereza District,
225209 Brest Region,
Republic of Belarus</t>
  </si>
  <si>
    <t>Frandesa Co., Ltd</t>
  </si>
  <si>
    <t>Sergey Toujik</t>
  </si>
  <si>
    <t>Sergey.toujik@frandesa.by</t>
  </si>
  <si>
    <t>86-24-85869228</t>
  </si>
  <si>
    <t>No.8, 
Shen Liao Dong Road, 
Tie Xi district, Shen Yang City, China</t>
  </si>
  <si>
    <t>Pesticides Test Laboratory of Shenyang Research Institute of Chemical Industry</t>
  </si>
  <si>
    <t>Chunqing Hou</t>
  </si>
  <si>
    <t>houchunqing@sinochem.com</t>
  </si>
  <si>
    <t>BASF SE
RAA/AC - E210
Dr. Rolf Foerster
Carl-Bosch-Strasse 38
D-67056  Ludwigshafen
GERMANY</t>
  </si>
  <si>
    <t>BASF</t>
  </si>
  <si>
    <t>Rolf Forster</t>
  </si>
  <si>
    <t>rolf.foerster@basf.com</t>
  </si>
  <si>
    <t xml:space="preserve">2-772, Suzuki, Kodaira City, Tokyo 187-0011, Japan 
Food and Agricultural Materials Inspection Center (FAMIC) </t>
  </si>
  <si>
    <t>FAMIC</t>
  </si>
  <si>
    <t xml:space="preserve">Takanori Ueno </t>
  </si>
  <si>
    <t>takanori_ueno970@famic.go.jp</t>
  </si>
  <si>
    <t>Delayed</t>
  </si>
  <si>
    <t>Laprode (Zhejiang) analysis Co., Ltd
4/F, Building 6, No.503 Xingguo Road, Yuhang District, Hangzhou, Zhejiang P.R. China.
311106</t>
  </si>
  <si>
    <t xml:space="preserve">Laprode (Zhejiang) analysis Co., Ltd   </t>
  </si>
  <si>
    <t>Liu Xiaoying</t>
  </si>
  <si>
    <t>liuxiaoying5628@126.com
qa2@laprode.com</t>
  </si>
  <si>
    <t>86-514-8588 8888-7479</t>
  </si>
  <si>
    <t>Company Name: Jiangsu Yangnong Chemical Co., Ltd.
Address: No. 39 Wenfeng Road, Yangzhou, Jiangsu, P.R. China
Postcode: 225009
Contact Name: Shi Weilian</t>
  </si>
  <si>
    <t>Jiangsu Yangnong Chemical Co., Ltd (YNGF)</t>
  </si>
  <si>
    <t>Donna Shi</t>
  </si>
  <si>
    <t>swl@yngf.com</t>
  </si>
  <si>
    <t>135 0109 5496</t>
  </si>
  <si>
    <t>Nutrichem
No.27, 
Life Science Park Road, 
Changping Dist., 
Beijing 102206  P.R.China</t>
  </si>
  <si>
    <t>Nutrichem</t>
  </si>
  <si>
    <t>Gao Rui</t>
  </si>
  <si>
    <t>rui.gao@nutrichem.cn</t>
  </si>
  <si>
    <t>+353 1 6157631</t>
  </si>
  <si>
    <t>The Pesticide Control Laboratory,
Backweston Laboratory Complex,
Backweston,
Celbridge,
Co. Kildare 
Ireland</t>
  </si>
  <si>
    <t>Denis Carr</t>
  </si>
  <si>
    <t>Denis.Carr@agriculture.gov.ie</t>
  </si>
  <si>
    <t>630.671.3087</t>
  </si>
  <si>
    <t>Clarke
675 Sidwell Court
St. Charles, IL 60174</t>
  </si>
  <si>
    <t>Clarke</t>
  </si>
  <si>
    <t>Carlos Moncada</t>
  </si>
  <si>
    <t>cmoncada@clarke.com</t>
  </si>
  <si>
    <t>410-841-2721</t>
  </si>
  <si>
    <t>Maryland Department of Agriculture
50 Harry S Truman Parkway
Annapolis, MD 21401</t>
  </si>
  <si>
    <t>Maryland Department of Agriculture</t>
  </si>
  <si>
    <t>Kenneth McManus</t>
  </si>
  <si>
    <t>kenneth.mcmanus@maryland.gov</t>
  </si>
  <si>
    <t>BioGuide Technologies Co., Ltd
Building 8
Institute of Food Science and Technology, CAAS
2 Yuanmingyuan West Road
Beijing
China</t>
  </si>
  <si>
    <t>BioGuide Technologies Co., Ltd</t>
  </si>
  <si>
    <t>Xiangdong Shao</t>
  </si>
  <si>
    <t>xiangdong.shao@bioguide.tech</t>
  </si>
  <si>
    <t>40246.253.466</t>
  </si>
  <si>
    <t>Alchimex SA
63-Alexandru Constantinescu-011472
Bucharest-1
Romania</t>
  </si>
  <si>
    <t>Alchimex</t>
  </si>
  <si>
    <t>Cornel Grecu</t>
  </si>
  <si>
    <t>cornel.grecu@alchimex.ro</t>
  </si>
  <si>
    <t>National Phytosanitary Authority
Voluntari Bvd. No. 11, Voluntari Town, Ilfov County, Romania</t>
  </si>
  <si>
    <t>Laboratory for quality control of pesticides National Phytosanitary Authority Romania</t>
  </si>
  <si>
    <t>Florentina Ciotea</t>
  </si>
  <si>
    <t>florentina.ciotea@anfdf.ro</t>
  </si>
  <si>
    <t>UKZUZ (CENTRAL INSTITUTE FOR SUPERVISING AND TESTING IN AGRICULTURE)
National Reference Laboratory
Department of Testing Plant Protection Products
Zemědělská 1a, 613 00 Brno
Czech Republic</t>
  </si>
  <si>
    <t>UKZUZ (Central Institute for Supervising and Testing in Agriculture)</t>
  </si>
  <si>
    <t>Olga.Novakova@ukzuz.cz</t>
  </si>
  <si>
    <t>389(0)23290638</t>
  </si>
  <si>
    <t>State Phytosanitary Laboratory
Ministry of Agriculture, Forestry and Water Economy
blvd. Aleksandar The Great bb
1000 Skopje
Republic of North Macedonia</t>
  </si>
  <si>
    <t>State Phytosanitary Laboratory</t>
  </si>
  <si>
    <t>Krste Tashev</t>
  </si>
  <si>
    <t>tkrste@gmail.com</t>
  </si>
  <si>
    <t>0030-2108180314</t>
  </si>
  <si>
    <t>Benaki Phytopathological Institute
8 Stefanou Delta Street, 
14561, Kifissia, Athens
Greece</t>
  </si>
  <si>
    <t>Benaki Phytopathological Institute</t>
  </si>
  <si>
    <t>Elen</t>
  </si>
  <si>
    <t>e.karassali@bpi.gr</t>
  </si>
  <si>
    <t>Comments</t>
  </si>
  <si>
    <t>Phone #</t>
  </si>
  <si>
    <t>Address</t>
  </si>
  <si>
    <t>Company Name</t>
  </si>
  <si>
    <t>Name</t>
  </si>
  <si>
    <t>Email</t>
  </si>
  <si>
    <t>Labs received samples</t>
  </si>
  <si>
    <t>Corteva Rec. Results</t>
  </si>
  <si>
    <t>Lab 7</t>
  </si>
  <si>
    <t>Lab 8</t>
  </si>
  <si>
    <t>WG</t>
  </si>
  <si>
    <t>DT</t>
  </si>
  <si>
    <t>Spinetoram Content (wt.%)</t>
  </si>
  <si>
    <t>Lab 9</t>
  </si>
  <si>
    <t>Lab 10</t>
  </si>
  <si>
    <t>Lab 11</t>
  </si>
  <si>
    <t>Data Not Correct</t>
  </si>
  <si>
    <t>No Data Shared</t>
  </si>
  <si>
    <t>Samples did not make it to lab</t>
  </si>
  <si>
    <t>-</t>
  </si>
  <si>
    <t>repeatability standard deviation for TC, WG. DT</t>
  </si>
  <si>
    <t>repeatability standard deviation for TC, WG,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</si>
</sst>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2" fillId="4" borderId="1" xfId="1" applyFill="1" applyBorder="1"/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2" fillId="0" borderId="0" xfId="1"/>
    <xf numFmtId="0" fontId="2" fillId="4" borderId="1" xfId="1" applyFill="1" applyBorder="1" applyAlignment="1">
      <alignment wrapText="1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165" fontId="0" fillId="0" borderId="0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166" fontId="0" fillId="0" borderId="18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7" borderId="2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title pos="t" align="ctr" overlay="0">
      <cx:tx>
        <cx:txData>
          <cx:v>TC1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TC1 Laboratory Data</a:t>
          </a:r>
        </a:p>
      </cx:txPr>
    </cx:title>
    <cx:plotArea>
      <cx:plotAreaRegion>
        <cx:series layoutId="boxWhisker" uniqueId="{E2A2344B-1FF5-462E-9341-3E484B446D3B}" formatIdx="0">
          <cx:tx>
            <cx:txData>
              <cx:f>_xlchart.v1.4</cx:f>
              <cx:v>TC1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ax="100" min="70"/>
        <cx:title>
          <cx:tx>
            <cx:txData>
              <cx:v>Spinetoram Content (wt.%)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_xlchart.v1.21</cx:f>
      </cx:strDim>
      <cx:numDim type="val">
        <cx:f>_xlchart.v1.23</cx:f>
      </cx:numDim>
    </cx:data>
  </cx:chartData>
  <cx:chart>
    <cx:title pos="t" align="ctr" overlay="0">
      <cx:tx>
        <cx:txData>
          <cx:v>SC2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SC2 laboratory Data</a:t>
          </a:r>
        </a:p>
      </cx:txPr>
    </cx:title>
    <cx:plotArea>
      <cx:plotAreaRegion>
        <cx:series layoutId="boxWhisker" uniqueId="{113E8081-4BBA-43E3-9F3D-A98D1EFE28DB}" formatIdx="1">
          <cx:tx>
            <cx:txData>
              <cx:f>_xlchart.v1.22</cx:f>
              <cx:v>SC2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in="10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val">
        <cx:f>_xlchart.v1.32</cx:f>
      </cx:numDim>
    </cx:data>
  </cx:chartData>
  <cx:chart>
    <cx:title pos="t" align="ctr" overlay="0">
      <cx:tx>
        <cx:txData>
          <cx:v>WG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WG laboratory Data</a:t>
          </a:r>
        </a:p>
      </cx:txPr>
    </cx:title>
    <cx:plotArea>
      <cx:plotAreaRegion>
        <cx:series layoutId="boxWhisker" uniqueId="{BA97C62E-B66C-4CA2-8EF9-D4E346FD86C2}" formatIdx="0">
          <cx:tx>
            <cx:txData>
              <cx:f>_xlchart.v1.31</cx:f>
              <cx:v>WG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ax="27" min="20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_xlchart.v1.33</cx:f>
      </cx:strDim>
      <cx:numDim type="val">
        <cx:f>_xlchart.v1.35</cx:f>
      </cx:numDim>
    </cx:data>
  </cx:chartData>
  <cx:chart>
    <cx:title pos="t" align="ctr" overlay="0">
      <cx:tx>
        <cx:txData>
          <cx:v>DT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DT laboratory Data</a:t>
          </a:r>
        </a:p>
      </cx:txPr>
    </cx:title>
    <cx:plotArea>
      <cx:plotAreaRegion>
        <cx:series layoutId="boxWhisker" uniqueId="{BA97C62E-B66C-4CA2-8EF9-D4E346FD86C2}" formatIdx="0">
          <cx:tx>
            <cx:txData>
              <cx:f>_xlchart.v1.34</cx:f>
              <cx:v>DT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ax="1.1000000000000001" min="0.10000000000000001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SC1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SC1 laboratory Data</a:t>
          </a:r>
        </a:p>
      </cx:txPr>
    </cx:title>
    <cx:plotArea>
      <cx:plotAreaRegion>
        <cx:series layoutId="boxWhisker" uniqueId="{BA97C62E-B66C-4CA2-8EF9-D4E346FD86C2}" formatIdx="0">
          <cx:tx>
            <cx:txData>
              <cx:f>_xlchart.v1.1</cx:f>
              <cx:v>SC1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ax="13" min="10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_xlchart.v1.8</cx:f>
      </cx:numDim>
    </cx:data>
  </cx:chartData>
  <cx:chart>
    <cx:title pos="t" align="ctr" overlay="0">
      <cx:tx>
        <cx:txData>
          <cx:v>TC2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TC2 Laboratory Data</a:t>
          </a:r>
        </a:p>
      </cx:txPr>
    </cx:title>
    <cx:plotArea>
      <cx:plotAreaRegion>
        <cx:series layoutId="boxWhisker" uniqueId="{36F73DD8-C832-463C-9BFC-07E9787656BE}" formatIdx="1">
          <cx:tx>
            <cx:txData>
              <cx:f>_xlchart.v1.7</cx:f>
              <cx:v>TC2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in="70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val">
        <cx:f>_xlchart.v1.14</cx:f>
      </cx:numDim>
    </cx:data>
  </cx:chartData>
  <cx:chart>
    <cx:title pos="t" align="ctr" overlay="0">
      <cx:tx>
        <cx:txData>
          <cx:v>SC2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SC2 laboratory Data</a:t>
          </a:r>
        </a:p>
      </cx:txPr>
    </cx:title>
    <cx:plotArea>
      <cx:plotAreaRegion>
        <cx:series layoutId="boxWhisker" uniqueId="{113E8081-4BBA-43E3-9F3D-A98D1EFE28DB}" formatIdx="1">
          <cx:tx>
            <cx:txData>
              <cx:f>_xlchart.v1.13</cx:f>
              <cx:v>SC2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in="10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_xlchart.v1.9</cx:f>
      </cx:strDim>
      <cx:numDim type="val">
        <cx:f>_xlchart.v1.11</cx:f>
      </cx:numDim>
    </cx:data>
  </cx:chartData>
  <cx:chart>
    <cx:title pos="t" align="ctr" overlay="0">
      <cx:tx>
        <cx:txData>
          <cx:v>WG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WG laboratory Data</a:t>
          </a:r>
        </a:p>
      </cx:txPr>
    </cx:title>
    <cx:plotArea>
      <cx:plotAreaRegion>
        <cx:series layoutId="boxWhisker" uniqueId="{BA97C62E-B66C-4CA2-8EF9-D4E346FD86C2}" formatIdx="0">
          <cx:tx>
            <cx:txData>
              <cx:f>_xlchart.v1.10</cx:f>
              <cx:v>WG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ax="27" min="20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_xlchart.v1.15</cx:f>
      </cx:strDim>
      <cx:numDim type="val">
        <cx:f>_xlchart.v1.17</cx:f>
      </cx:numDim>
    </cx:data>
  </cx:chartData>
  <cx:chart>
    <cx:title pos="t" align="ctr" overlay="0">
      <cx:tx>
        <cx:txData>
          <cx:v>DT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DT laboratory Data</a:t>
          </a:r>
        </a:p>
      </cx:txPr>
    </cx:title>
    <cx:plotArea>
      <cx:plotAreaRegion>
        <cx:series layoutId="boxWhisker" uniqueId="{BA97C62E-B66C-4CA2-8EF9-D4E346FD86C2}" formatIdx="0">
          <cx:tx>
            <cx:txData>
              <cx:f>_xlchart.v1.16</cx:f>
              <cx:v>DT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ax="1.1000000000000001" min="0.10000000000000001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val">
        <cx:f>_xlchart.v1.26</cx:f>
      </cx:numDim>
    </cx:data>
  </cx:chartData>
  <cx:chart>
    <cx:title pos="t" align="ctr" overlay="0">
      <cx:tx>
        <cx:txData>
          <cx:v>TC1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TC1 Laboratory Data</a:t>
          </a:r>
        </a:p>
      </cx:txPr>
    </cx:title>
    <cx:plotArea>
      <cx:plotAreaRegion>
        <cx:series layoutId="boxWhisker" uniqueId="{E2A2344B-1FF5-462E-9341-3E484B446D3B}" formatIdx="0">
          <cx:tx>
            <cx:txData>
              <cx:f>_xlchart.v1.25</cx:f>
              <cx:v>TC1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ax="100" min="70"/>
        <cx:title>
          <cx:tx>
            <cx:txData>
              <cx:v>Spinetoram Content (wt.%)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_xlchart.v1.27</cx:f>
      </cx:strDim>
      <cx:numDim type="val">
        <cx:f>_xlchart.v1.29</cx:f>
      </cx:numDim>
    </cx:data>
  </cx:chartData>
  <cx:chart>
    <cx:title pos="t" align="ctr" overlay="0">
      <cx:tx>
        <cx:txData>
          <cx:v>SC1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SC1 laboratory Data</a:t>
          </a:r>
        </a:p>
      </cx:txPr>
    </cx:title>
    <cx:plotArea>
      <cx:plotAreaRegion>
        <cx:series layoutId="boxWhisker" uniqueId="{BA97C62E-B66C-4CA2-8EF9-D4E346FD86C2}" formatIdx="0">
          <cx:tx>
            <cx:txData>
              <cx:f>_xlchart.v1.28</cx:f>
              <cx:v>SC1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ax="13" min="10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val">
        <cx:f>_xlchart.v1.20</cx:f>
      </cx:numDim>
    </cx:data>
  </cx:chartData>
  <cx:chart>
    <cx:title pos="t" align="ctr" overlay="0">
      <cx:tx>
        <cx:txData>
          <cx:v>TC2 Laboratory Data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TC2 Laboratory Data</a:t>
          </a:r>
        </a:p>
      </cx:txPr>
    </cx:title>
    <cx:plotArea>
      <cx:plotAreaRegion>
        <cx:series layoutId="boxWhisker" uniqueId="{36F73DD8-C832-463C-9BFC-07E9787656BE}" formatIdx="1">
          <cx:tx>
            <cx:txData>
              <cx:f>_xlchart.v1.19</cx:f>
              <cx:v>TC2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Lab Data Set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Lab Data Set</a:t>
              </a:r>
            </a:p>
          </cx:txPr>
        </cx:title>
        <cx:tickLabels/>
      </cx:axis>
      <cx:axis id="1">
        <cx:valScaling min="70"/>
        <cx:title>
          <cx:tx>
            <cx:txData>
              <cx:v>Spinetoram Content (wt.%)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Spinetoram Content (wt.%)</a:t>
              </a:r>
            </a:p>
          </cx:txPr>
        </cx:title>
        <cx:majorGridlines>
          <cx:spPr>
            <a:ln>
              <a:noFill/>
            </a:ln>
          </cx:spPr>
        </cx:majorGridlines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9.xml"/><Relationship Id="rId2" Type="http://schemas.microsoft.com/office/2014/relationships/chartEx" Target="../charts/chartEx8.xml"/><Relationship Id="rId1" Type="http://schemas.microsoft.com/office/2014/relationships/chartEx" Target="../charts/chartEx7.xml"/><Relationship Id="rId6" Type="http://schemas.microsoft.com/office/2014/relationships/chartEx" Target="../charts/chartEx12.xml"/><Relationship Id="rId5" Type="http://schemas.microsoft.com/office/2014/relationships/chartEx" Target="../charts/chartEx11.xml"/><Relationship Id="rId4" Type="http://schemas.microsoft.com/office/2014/relationships/chartEx" Target="../charts/chartEx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6349</xdr:colOff>
      <xdr:row>34</xdr:row>
      <xdr:rowOff>160338</xdr:rowOff>
    </xdr:from>
    <xdr:to>
      <xdr:col>18</xdr:col>
      <xdr:colOff>9524</xdr:colOff>
      <xdr:row>50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19849" y="6751638"/>
              <a:ext cx="5502275" cy="28051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15875</xdr:colOff>
      <xdr:row>51</xdr:row>
      <xdr:rowOff>26987</xdr:rowOff>
    </xdr:from>
    <xdr:to>
      <xdr:col>17</xdr:col>
      <xdr:colOff>609600</xdr:colOff>
      <xdr:row>65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29375" y="9748837"/>
              <a:ext cx="5451475" cy="2713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307974</xdr:colOff>
      <xdr:row>35</xdr:row>
      <xdr:rowOff>19050</xdr:rowOff>
    </xdr:from>
    <xdr:to>
      <xdr:col>27</xdr:col>
      <xdr:colOff>288924</xdr:colOff>
      <xdr:row>49</xdr:row>
      <xdr:rowOff>149225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20574" y="6794500"/>
              <a:ext cx="6134100" cy="2708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295274</xdr:colOff>
      <xdr:row>51</xdr:row>
      <xdr:rowOff>9525</xdr:rowOff>
    </xdr:from>
    <xdr:to>
      <xdr:col>27</xdr:col>
      <xdr:colOff>352424</xdr:colOff>
      <xdr:row>65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07874" y="9731375"/>
              <a:ext cx="6210300" cy="2711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0</xdr:colOff>
      <xdr:row>67</xdr:row>
      <xdr:rowOff>0</xdr:rowOff>
    </xdr:from>
    <xdr:to>
      <xdr:col>17</xdr:col>
      <xdr:colOff>593725</xdr:colOff>
      <xdr:row>81</xdr:row>
      <xdr:rowOff>128588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Chart 14">
              <a:extLst>
                <a:ext uri="{FF2B5EF4-FFF2-40B4-BE49-F238E27FC236}">
                  <a16:creationId xmlns:a16="http://schemas.microsoft.com/office/drawing/2014/main" id="{CF39E46B-652B-48D1-84A6-1B4D70B61D0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13500" y="12668250"/>
              <a:ext cx="5451475" cy="27066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258763</xdr:colOff>
      <xdr:row>66</xdr:row>
      <xdr:rowOff>154780</xdr:rowOff>
    </xdr:from>
    <xdr:to>
      <xdr:col>27</xdr:col>
      <xdr:colOff>297656</xdr:colOff>
      <xdr:row>81</xdr:row>
      <xdr:rowOff>130967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6" name="Chart 15">
              <a:extLst>
                <a:ext uri="{FF2B5EF4-FFF2-40B4-BE49-F238E27FC236}">
                  <a16:creationId xmlns:a16="http://schemas.microsoft.com/office/drawing/2014/main" id="{A78FEB24-7FFD-4DD0-94D9-EB36F4F0B5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171363" y="12638880"/>
              <a:ext cx="6192043" cy="27384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6349</xdr:colOff>
      <xdr:row>34</xdr:row>
      <xdr:rowOff>160338</xdr:rowOff>
    </xdr:from>
    <xdr:to>
      <xdr:col>18</xdr:col>
      <xdr:colOff>9524</xdr:colOff>
      <xdr:row>50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51952625-9CA8-420B-A99A-E8BAA29DF0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19849" y="6751638"/>
              <a:ext cx="5502275" cy="28051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15875</xdr:colOff>
      <xdr:row>51</xdr:row>
      <xdr:rowOff>26987</xdr:rowOff>
    </xdr:from>
    <xdr:to>
      <xdr:col>17</xdr:col>
      <xdr:colOff>609600</xdr:colOff>
      <xdr:row>65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B5446B07-E1FA-4DBE-98D2-32025B1F0BC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29375" y="9748837"/>
              <a:ext cx="5451475" cy="2713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307974</xdr:colOff>
      <xdr:row>35</xdr:row>
      <xdr:rowOff>19050</xdr:rowOff>
    </xdr:from>
    <xdr:to>
      <xdr:col>27</xdr:col>
      <xdr:colOff>288924</xdr:colOff>
      <xdr:row>49</xdr:row>
      <xdr:rowOff>149225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2A39918A-EE95-4101-BACE-4AC8CF81D06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20574" y="6794500"/>
              <a:ext cx="6134100" cy="2708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295274</xdr:colOff>
      <xdr:row>51</xdr:row>
      <xdr:rowOff>9525</xdr:rowOff>
    </xdr:from>
    <xdr:to>
      <xdr:col>27</xdr:col>
      <xdr:colOff>352424</xdr:colOff>
      <xdr:row>65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4081B5D5-00DD-4FF6-965F-21C8470193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07874" y="9731375"/>
              <a:ext cx="6210300" cy="2711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0</xdr:colOff>
      <xdr:row>67</xdr:row>
      <xdr:rowOff>0</xdr:rowOff>
    </xdr:from>
    <xdr:to>
      <xdr:col>17</xdr:col>
      <xdr:colOff>593725</xdr:colOff>
      <xdr:row>81</xdr:row>
      <xdr:rowOff>128588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DE2376B2-307A-4D6D-BC03-2F785D94D7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13500" y="12668250"/>
              <a:ext cx="5451475" cy="27066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258763</xdr:colOff>
      <xdr:row>66</xdr:row>
      <xdr:rowOff>154780</xdr:rowOff>
    </xdr:from>
    <xdr:to>
      <xdr:col>27</xdr:col>
      <xdr:colOff>297656</xdr:colOff>
      <xdr:row>81</xdr:row>
      <xdr:rowOff>130967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E9C85C64-02DE-4717-BF51-0C66D972BC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171363" y="12638880"/>
              <a:ext cx="6192043" cy="27384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oncada@clarke.com" TargetMode="External"/><Relationship Id="rId13" Type="http://schemas.openxmlformats.org/officeDocument/2006/relationships/hyperlink" Target="mailto:rui.gao@nutrichem.cn" TargetMode="External"/><Relationship Id="rId18" Type="http://schemas.openxmlformats.org/officeDocument/2006/relationships/hyperlink" Target="mailto:takanori_ueno970@famic.go.jp" TargetMode="External"/><Relationship Id="rId3" Type="http://schemas.openxmlformats.org/officeDocument/2006/relationships/hyperlink" Target="mailto:Olga.Novakova@ukzuz.cz" TargetMode="External"/><Relationship Id="rId21" Type="http://schemas.openxmlformats.org/officeDocument/2006/relationships/comments" Target="../comments1.xml"/><Relationship Id="rId7" Type="http://schemas.openxmlformats.org/officeDocument/2006/relationships/hyperlink" Target="mailto:kenneth.mcmanus@maryland.gov" TargetMode="External"/><Relationship Id="rId12" Type="http://schemas.openxmlformats.org/officeDocument/2006/relationships/hyperlink" Target="mailto:houchunqing@sinochem.com" TargetMode="External"/><Relationship Id="rId17" Type="http://schemas.openxmlformats.org/officeDocument/2006/relationships/hyperlink" Target="mailto:Denis.Carr@agriculture.gov.ie" TargetMode="External"/><Relationship Id="rId2" Type="http://schemas.openxmlformats.org/officeDocument/2006/relationships/hyperlink" Target="mailto:tkrste@gmail.com" TargetMode="External"/><Relationship Id="rId16" Type="http://schemas.openxmlformats.org/officeDocument/2006/relationships/hyperlink" Target="mailto:fbaccino@mgap.gub.uy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e.karassali@bpi.gr" TargetMode="External"/><Relationship Id="rId6" Type="http://schemas.openxmlformats.org/officeDocument/2006/relationships/hyperlink" Target="mailto:xiangdong.shao@bioguide.tech" TargetMode="External"/><Relationship Id="rId11" Type="http://schemas.openxmlformats.org/officeDocument/2006/relationships/hyperlink" Target="mailto:rolf.foerster@basf.com" TargetMode="External"/><Relationship Id="rId5" Type="http://schemas.openxmlformats.org/officeDocument/2006/relationships/hyperlink" Target="mailto:cornel.grecu@alchimex.ro" TargetMode="External"/><Relationship Id="rId15" Type="http://schemas.openxmlformats.org/officeDocument/2006/relationships/hyperlink" Target="mailto:b.deryckel@cra.wallonie.be" TargetMode="External"/><Relationship Id="rId10" Type="http://schemas.openxmlformats.org/officeDocument/2006/relationships/hyperlink" Target="mailto:liuxiaoying5628@126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florentina.ciotea@anfdf.ro" TargetMode="External"/><Relationship Id="rId9" Type="http://schemas.openxmlformats.org/officeDocument/2006/relationships/hyperlink" Target="mailto:swl@yngf.com" TargetMode="External"/><Relationship Id="rId14" Type="http://schemas.openxmlformats.org/officeDocument/2006/relationships/hyperlink" Target="mailto:Sergey.toujik@frandesa.by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B908-4810-4AC6-B099-BF95838D24DC}">
  <dimension ref="A3:I21"/>
  <sheetViews>
    <sheetView workbookViewId="0">
      <selection activeCell="C4" sqref="C4"/>
    </sheetView>
  </sheetViews>
  <sheetFormatPr defaultColWidth="8.6328125" defaultRowHeight="14.5" x14ac:dyDescent="0.35"/>
  <cols>
    <col min="1" max="1" width="8.6328125" style="34"/>
    <col min="2" max="2" width="20" style="35" bestFit="1" customWidth="1"/>
    <col min="3" max="3" width="20" style="35" customWidth="1"/>
    <col min="4" max="4" width="30.81640625" style="34" bestFit="1" customWidth="1"/>
    <col min="5" max="5" width="16.81640625" style="34" bestFit="1" customWidth="1"/>
    <col min="6" max="6" width="37.36328125" style="34" customWidth="1"/>
    <col min="7" max="7" width="32.81640625" style="34" customWidth="1"/>
    <col min="8" max="8" width="19.36328125" style="35" customWidth="1"/>
    <col min="9" max="9" width="28.6328125" style="34" bestFit="1" customWidth="1"/>
    <col min="10" max="16384" width="8.6328125" style="34"/>
  </cols>
  <sheetData>
    <row r="3" spans="2:9" x14ac:dyDescent="0.35">
      <c r="B3" s="45" t="s">
        <v>174</v>
      </c>
      <c r="C3" s="45" t="s">
        <v>175</v>
      </c>
      <c r="D3" s="45" t="s">
        <v>173</v>
      </c>
      <c r="E3" s="45" t="s">
        <v>172</v>
      </c>
      <c r="F3" s="45" t="s">
        <v>171</v>
      </c>
      <c r="G3" s="45" t="s">
        <v>170</v>
      </c>
      <c r="H3" s="45" t="s">
        <v>169</v>
      </c>
      <c r="I3" s="45" t="s">
        <v>168</v>
      </c>
    </row>
    <row r="4" spans="2:9" ht="58" x14ac:dyDescent="0.35">
      <c r="B4" s="37" t="s">
        <v>88</v>
      </c>
      <c r="C4" s="37" t="s">
        <v>88</v>
      </c>
      <c r="D4" s="39" t="s">
        <v>167</v>
      </c>
      <c r="E4" s="36" t="s">
        <v>166</v>
      </c>
      <c r="F4" s="36" t="s">
        <v>165</v>
      </c>
      <c r="G4" s="38" t="s">
        <v>164</v>
      </c>
      <c r="H4" s="37" t="s">
        <v>163</v>
      </c>
      <c r="I4" s="36"/>
    </row>
    <row r="5" spans="2:9" ht="116" x14ac:dyDescent="0.35">
      <c r="B5" s="37" t="s">
        <v>88</v>
      </c>
      <c r="C5" s="37" t="s">
        <v>88</v>
      </c>
      <c r="D5" s="39" t="s">
        <v>157</v>
      </c>
      <c r="E5" s="36" t="s">
        <v>2</v>
      </c>
      <c r="F5" s="38" t="s">
        <v>156</v>
      </c>
      <c r="G5" s="38" t="s">
        <v>155</v>
      </c>
      <c r="H5" s="40">
        <v>420545110412</v>
      </c>
      <c r="I5" s="36"/>
    </row>
    <row r="6" spans="2:9" ht="43.5" x14ac:dyDescent="0.35">
      <c r="B6" s="37" t="s">
        <v>88</v>
      </c>
      <c r="C6" s="37" t="s">
        <v>88</v>
      </c>
      <c r="D6" s="39" t="s">
        <v>154</v>
      </c>
      <c r="E6" s="36" t="s">
        <v>153</v>
      </c>
      <c r="F6" s="38" t="s">
        <v>152</v>
      </c>
      <c r="G6" s="38" t="s">
        <v>151</v>
      </c>
      <c r="H6" s="37">
        <v>40212703256</v>
      </c>
      <c r="I6" s="36"/>
    </row>
    <row r="7" spans="2:9" ht="58" x14ac:dyDescent="0.35">
      <c r="B7" s="37" t="s">
        <v>88</v>
      </c>
      <c r="C7" s="37" t="s">
        <v>88</v>
      </c>
      <c r="D7" s="39" t="s">
        <v>150</v>
      </c>
      <c r="E7" s="36" t="s">
        <v>149</v>
      </c>
      <c r="F7" s="36" t="s">
        <v>148</v>
      </c>
      <c r="G7" s="38" t="s">
        <v>147</v>
      </c>
      <c r="H7" s="37" t="s">
        <v>146</v>
      </c>
      <c r="I7" s="36"/>
    </row>
    <row r="8" spans="2:9" ht="43.5" x14ac:dyDescent="0.35">
      <c r="B8" s="37" t="s">
        <v>88</v>
      </c>
      <c r="C8" s="37" t="s">
        <v>88</v>
      </c>
      <c r="D8" s="39" t="s">
        <v>141</v>
      </c>
      <c r="E8" s="36" t="s">
        <v>140</v>
      </c>
      <c r="F8" s="36" t="s">
        <v>139</v>
      </c>
      <c r="G8" s="38" t="s">
        <v>138</v>
      </c>
      <c r="H8" s="37" t="s">
        <v>137</v>
      </c>
      <c r="I8" s="36"/>
    </row>
    <row r="9" spans="2:9" ht="43.5" x14ac:dyDescent="0.35">
      <c r="B9" s="37" t="s">
        <v>88</v>
      </c>
      <c r="C9" s="37" t="s">
        <v>88</v>
      </c>
      <c r="D9" s="39" t="s">
        <v>136</v>
      </c>
      <c r="E9" s="36" t="s">
        <v>135</v>
      </c>
      <c r="F9" s="36" t="s">
        <v>134</v>
      </c>
      <c r="G9" s="38" t="s">
        <v>133</v>
      </c>
      <c r="H9" s="37" t="s">
        <v>132</v>
      </c>
      <c r="I9" s="36"/>
    </row>
    <row r="10" spans="2:9" ht="87" x14ac:dyDescent="0.35">
      <c r="B10" s="37" t="s">
        <v>88</v>
      </c>
      <c r="C10" s="37" t="s">
        <v>88</v>
      </c>
      <c r="D10" s="39" t="s">
        <v>131</v>
      </c>
      <c r="E10" s="36" t="s">
        <v>130</v>
      </c>
      <c r="F10" s="36" t="s">
        <v>1</v>
      </c>
      <c r="G10" s="38" t="s">
        <v>129</v>
      </c>
      <c r="H10" s="44" t="s">
        <v>128</v>
      </c>
      <c r="I10" s="36"/>
    </row>
    <row r="11" spans="2:9" ht="87" x14ac:dyDescent="0.35">
      <c r="B11" s="37" t="s">
        <v>88</v>
      </c>
      <c r="C11" s="37" t="s">
        <v>88</v>
      </c>
      <c r="D11" s="39" t="s">
        <v>108</v>
      </c>
      <c r="E11" s="36" t="s">
        <v>107</v>
      </c>
      <c r="F11" s="36" t="s">
        <v>106</v>
      </c>
      <c r="G11" s="38" t="s">
        <v>105</v>
      </c>
      <c r="H11" s="40">
        <v>496216027521</v>
      </c>
      <c r="I11" s="36"/>
    </row>
    <row r="12" spans="2:9" ht="58" x14ac:dyDescent="0.35">
      <c r="B12" s="37" t="s">
        <v>88</v>
      </c>
      <c r="C12" s="37" t="s">
        <v>88</v>
      </c>
      <c r="D12" s="39" t="s">
        <v>99</v>
      </c>
      <c r="E12" s="36" t="s">
        <v>98</v>
      </c>
      <c r="F12" s="36" t="s">
        <v>97</v>
      </c>
      <c r="G12" s="38" t="s">
        <v>96</v>
      </c>
      <c r="H12" s="37" t="s">
        <v>95</v>
      </c>
      <c r="I12" s="36" t="s">
        <v>94</v>
      </c>
    </row>
    <row r="13" spans="2:9" ht="174" x14ac:dyDescent="0.35">
      <c r="B13" s="37" t="s">
        <v>88</v>
      </c>
      <c r="C13" s="37" t="s">
        <v>88</v>
      </c>
      <c r="D13" s="39" t="s">
        <v>93</v>
      </c>
      <c r="E13" s="36" t="s">
        <v>92</v>
      </c>
      <c r="F13" s="36" t="s">
        <v>91</v>
      </c>
      <c r="G13" s="38" t="s">
        <v>90</v>
      </c>
      <c r="H13" s="37" t="s">
        <v>89</v>
      </c>
      <c r="I13" s="36"/>
    </row>
    <row r="14" spans="2:9" ht="203" x14ac:dyDescent="0.35">
      <c r="B14" s="37" t="s">
        <v>88</v>
      </c>
      <c r="C14" s="37" t="s">
        <v>88</v>
      </c>
      <c r="D14" s="39" t="s">
        <v>87</v>
      </c>
      <c r="E14" s="36" t="s">
        <v>86</v>
      </c>
      <c r="F14" s="38" t="s">
        <v>85</v>
      </c>
      <c r="G14" s="38" t="s">
        <v>84</v>
      </c>
      <c r="H14" s="37" t="s">
        <v>83</v>
      </c>
      <c r="I14" s="36"/>
    </row>
    <row r="15" spans="2:9" ht="101.5" x14ac:dyDescent="0.35">
      <c r="B15" s="37" t="s">
        <v>113</v>
      </c>
      <c r="C15" s="52" t="s">
        <v>186</v>
      </c>
      <c r="D15" s="39" t="s">
        <v>145</v>
      </c>
      <c r="E15" s="36" t="s">
        <v>144</v>
      </c>
      <c r="F15" s="36" t="s">
        <v>143</v>
      </c>
      <c r="G15" s="38" t="s">
        <v>142</v>
      </c>
      <c r="H15" s="40">
        <v>8613439390072</v>
      </c>
      <c r="I15" s="36"/>
    </row>
    <row r="16" spans="2:9" ht="130.5" x14ac:dyDescent="0.35">
      <c r="B16" s="37" t="s">
        <v>113</v>
      </c>
      <c r="C16" s="52" t="s">
        <v>186</v>
      </c>
      <c r="D16" s="39" t="s">
        <v>122</v>
      </c>
      <c r="E16" s="36" t="s">
        <v>121</v>
      </c>
      <c r="F16" s="36" t="s">
        <v>120</v>
      </c>
      <c r="G16" s="38" t="s">
        <v>119</v>
      </c>
      <c r="H16" s="37" t="s">
        <v>118</v>
      </c>
      <c r="I16" s="36"/>
    </row>
    <row r="17" spans="1:9" ht="72.5" x14ac:dyDescent="0.35">
      <c r="B17" s="37" t="s">
        <v>113</v>
      </c>
      <c r="C17" s="52" t="s">
        <v>186</v>
      </c>
      <c r="D17" s="43" t="s">
        <v>117</v>
      </c>
      <c r="E17" s="36" t="s">
        <v>116</v>
      </c>
      <c r="F17" s="36" t="s">
        <v>115</v>
      </c>
      <c r="G17" s="38" t="s">
        <v>114</v>
      </c>
      <c r="H17" s="37">
        <v>15356661112</v>
      </c>
      <c r="I17" s="36"/>
    </row>
    <row r="18" spans="1:9" ht="58" x14ac:dyDescent="0.35">
      <c r="B18" s="37" t="s">
        <v>113</v>
      </c>
      <c r="C18" s="52" t="s">
        <v>186</v>
      </c>
      <c r="D18" s="42" t="s">
        <v>112</v>
      </c>
      <c r="E18" s="36" t="s">
        <v>111</v>
      </c>
      <c r="F18" s="36" t="s">
        <v>110</v>
      </c>
      <c r="G18" s="38" t="s">
        <v>109</v>
      </c>
      <c r="H18" s="41">
        <v>815037971870</v>
      </c>
      <c r="I18" s="36"/>
    </row>
    <row r="19" spans="1:9" ht="87" x14ac:dyDescent="0.35">
      <c r="B19" s="37" t="s">
        <v>88</v>
      </c>
      <c r="C19" s="37" t="s">
        <v>185</v>
      </c>
      <c r="D19" s="39" t="s">
        <v>162</v>
      </c>
      <c r="E19" s="36" t="s">
        <v>161</v>
      </c>
      <c r="F19" s="36" t="s">
        <v>160</v>
      </c>
      <c r="G19" s="38" t="s">
        <v>159</v>
      </c>
      <c r="H19" s="37" t="s">
        <v>158</v>
      </c>
      <c r="I19" s="36"/>
    </row>
    <row r="20" spans="1:9" ht="72.5" x14ac:dyDescent="0.35">
      <c r="A20" s="34" t="s">
        <v>88</v>
      </c>
      <c r="B20" s="37" t="s">
        <v>88</v>
      </c>
      <c r="C20" s="37" t="s">
        <v>185</v>
      </c>
      <c r="D20" s="39" t="s">
        <v>127</v>
      </c>
      <c r="E20" s="36" t="s">
        <v>126</v>
      </c>
      <c r="F20" s="36" t="s">
        <v>125</v>
      </c>
      <c r="G20" s="38" t="s">
        <v>124</v>
      </c>
      <c r="H20" s="37" t="s">
        <v>123</v>
      </c>
      <c r="I20" s="36"/>
    </row>
    <row r="21" spans="1:9" ht="43.5" x14ac:dyDescent="0.35">
      <c r="A21" s="34" t="s">
        <v>88</v>
      </c>
      <c r="B21" s="37" t="s">
        <v>88</v>
      </c>
      <c r="C21" s="37" t="s">
        <v>184</v>
      </c>
      <c r="D21" s="39" t="s">
        <v>104</v>
      </c>
      <c r="E21" s="36" t="s">
        <v>103</v>
      </c>
      <c r="F21" s="38" t="s">
        <v>102</v>
      </c>
      <c r="G21" s="38" t="s">
        <v>101</v>
      </c>
      <c r="H21" s="37" t="s">
        <v>100</v>
      </c>
      <c r="I21" s="36"/>
    </row>
  </sheetData>
  <autoFilter ref="B3:I18" xr:uid="{26CAA8B1-D464-41A3-B352-C86A75FDBE72}"/>
  <hyperlinks>
    <hyperlink ref="D4" r:id="rId1" xr:uid="{CC9A9360-24A5-4EF9-9811-206835F071C0}"/>
    <hyperlink ref="D19" r:id="rId2" xr:uid="{E70021F2-188C-4E01-9160-E79DB312C568}"/>
    <hyperlink ref="D5" r:id="rId3" xr:uid="{7C906F4F-0B91-4B44-BC1C-FD71EBB08659}"/>
    <hyperlink ref="D6" r:id="rId4" xr:uid="{AABA93A1-62B1-4B63-B758-30EB3F5446F7}"/>
    <hyperlink ref="D7" r:id="rId5" xr:uid="{8D1E0A8C-2814-4242-924C-554D86DD5499}"/>
    <hyperlink ref="D15" r:id="rId6" xr:uid="{D5714CD4-A7DC-445F-ACB3-C6E6D851A50C}"/>
    <hyperlink ref="D8" r:id="rId7" xr:uid="{7E04CADF-1977-4F30-8BE0-865A09B39393}"/>
    <hyperlink ref="D9" r:id="rId8" xr:uid="{AB7F5E4B-EE34-4086-BD0E-CDEB26AC96A9}"/>
    <hyperlink ref="D16" r:id="rId9" xr:uid="{5515272C-F7D5-4084-94D2-10FC710FBB5E}"/>
    <hyperlink ref="D17" r:id="rId10" display="liuxiaoying5628@126.com" xr:uid="{6600AEF2-3F3E-45E9-AC6D-A04892170FFE}"/>
    <hyperlink ref="D11" r:id="rId11" xr:uid="{3E1F3667-68CD-4414-A890-96B7D015D79B}"/>
    <hyperlink ref="D21" r:id="rId12" xr:uid="{38E2BF7D-C064-4117-B3A6-7921EA0122B4}"/>
    <hyperlink ref="D20" r:id="rId13" xr:uid="{00239A20-1D2E-47AF-A924-30B2F449B6F8}"/>
    <hyperlink ref="D12" r:id="rId14" xr:uid="{7439710D-D596-4022-A9DF-5371AF633AE4}"/>
    <hyperlink ref="D13" r:id="rId15" xr:uid="{E961C627-99E8-4989-948E-BC0BE5D685FA}"/>
    <hyperlink ref="D14" r:id="rId16" xr:uid="{312CF1FC-ACB0-4A53-AC20-FD321DD8E645}"/>
    <hyperlink ref="D10" r:id="rId17" xr:uid="{CC1A0156-00CB-4D08-B349-7589F6747336}"/>
    <hyperlink ref="D18" r:id="rId18" xr:uid="{BB7FAB31-EF73-41CD-9DC6-690FDF7407D6}"/>
  </hyperlinks>
  <pageMargins left="0.7" right="0.7" top="0.75" bottom="0.75" header="0.3" footer="0.3"/>
  <pageSetup orientation="portrait" r:id="rId19"/>
  <legacy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1"/>
  <sheetViews>
    <sheetView workbookViewId="0">
      <selection activeCell="C15" sqref="C15"/>
    </sheetView>
  </sheetViews>
  <sheetFormatPr defaultColWidth="9.1796875" defaultRowHeight="14.5" x14ac:dyDescent="0.35"/>
  <cols>
    <col min="1" max="1" width="9.1796875" style="32"/>
    <col min="2" max="2" width="12" style="1" customWidth="1"/>
    <col min="3" max="8" width="9.81640625" style="1" customWidth="1"/>
    <col min="9" max="9" width="10.6328125" style="1" customWidth="1"/>
    <col min="10" max="13" width="10.6328125" style="32" customWidth="1"/>
    <col min="14" max="15" width="9.1796875" style="1"/>
    <col min="16" max="16" width="17.453125" style="1" customWidth="1"/>
    <col min="17" max="20" width="9.1796875" style="1"/>
    <col min="21" max="21" width="11.81640625" style="1" bestFit="1" customWidth="1"/>
    <col min="22" max="23" width="9.1796875" style="1"/>
    <col min="24" max="24" width="10.36328125" style="1" customWidth="1"/>
    <col min="25" max="16384" width="9.1796875" style="1"/>
  </cols>
  <sheetData>
    <row r="1" spans="2:24" s="32" customFormat="1" x14ac:dyDescent="0.35"/>
    <row r="2" spans="2:24" x14ac:dyDescent="0.35">
      <c r="B2" s="75" t="s">
        <v>35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2:24" ht="18" customHeight="1" x14ac:dyDescent="0.35">
      <c r="B3" s="10" t="s">
        <v>0</v>
      </c>
      <c r="C3" s="26">
        <v>1</v>
      </c>
      <c r="D3" s="26">
        <v>2</v>
      </c>
      <c r="E3" s="26">
        <v>3</v>
      </c>
      <c r="F3" s="10">
        <v>4</v>
      </c>
      <c r="G3" s="10">
        <v>5</v>
      </c>
      <c r="H3" s="31">
        <v>6</v>
      </c>
      <c r="I3" s="31">
        <v>7</v>
      </c>
      <c r="J3" s="31">
        <v>8</v>
      </c>
      <c r="K3" s="31">
        <v>9</v>
      </c>
      <c r="L3" s="31">
        <v>10</v>
      </c>
      <c r="M3" s="31">
        <v>11</v>
      </c>
      <c r="N3" s="27"/>
    </row>
    <row r="4" spans="2:24" ht="15" customHeight="1" x14ac:dyDescent="0.35">
      <c r="B4" s="75" t="s">
        <v>180</v>
      </c>
      <c r="C4" s="46">
        <v>87.1</v>
      </c>
      <c r="D4" s="46">
        <v>89.3</v>
      </c>
      <c r="E4" s="46">
        <v>94.4</v>
      </c>
      <c r="F4" s="46">
        <v>89.5</v>
      </c>
      <c r="G4" s="46">
        <v>92.6</v>
      </c>
      <c r="H4" s="46">
        <v>89.5</v>
      </c>
      <c r="I4" s="46">
        <v>89.7</v>
      </c>
      <c r="J4" s="46">
        <v>90</v>
      </c>
      <c r="K4" s="46">
        <v>90.7</v>
      </c>
      <c r="L4" s="46">
        <v>89.3</v>
      </c>
      <c r="M4" s="46">
        <v>85.8</v>
      </c>
      <c r="N4" s="75" t="s">
        <v>3</v>
      </c>
    </row>
    <row r="5" spans="2:24" x14ac:dyDescent="0.35">
      <c r="B5" s="75"/>
      <c r="C5" s="46">
        <v>86.4</v>
      </c>
      <c r="D5" s="46">
        <v>89</v>
      </c>
      <c r="E5" s="46">
        <v>94.6</v>
      </c>
      <c r="F5" s="46">
        <v>88.9</v>
      </c>
      <c r="G5" s="46">
        <v>90.6</v>
      </c>
      <c r="H5" s="46">
        <v>88.9</v>
      </c>
      <c r="I5" s="46">
        <v>89.7</v>
      </c>
      <c r="J5" s="46">
        <v>90</v>
      </c>
      <c r="K5" s="46">
        <v>90.6</v>
      </c>
      <c r="L5" s="46">
        <v>89.4</v>
      </c>
      <c r="M5" s="46">
        <v>85.9</v>
      </c>
      <c r="N5" s="75"/>
    </row>
    <row r="6" spans="2:24" x14ac:dyDescent="0.35">
      <c r="B6" s="75"/>
      <c r="C6" s="46">
        <v>87.5</v>
      </c>
      <c r="D6" s="46">
        <v>89.1</v>
      </c>
      <c r="E6" s="46">
        <v>95.6</v>
      </c>
      <c r="F6" s="46">
        <v>90.3</v>
      </c>
      <c r="G6" s="46">
        <v>91.8</v>
      </c>
      <c r="H6" s="46">
        <v>90.3</v>
      </c>
      <c r="I6" s="46">
        <v>86.9</v>
      </c>
      <c r="J6" s="46">
        <v>90.2</v>
      </c>
      <c r="K6" s="46">
        <v>90.7</v>
      </c>
      <c r="L6" s="46">
        <v>89.4</v>
      </c>
      <c r="M6" s="46">
        <v>85.4</v>
      </c>
      <c r="N6" s="75"/>
    </row>
    <row r="7" spans="2:24" x14ac:dyDescent="0.35">
      <c r="B7" s="75"/>
      <c r="C7" s="46">
        <v>87.9</v>
      </c>
      <c r="D7" s="46">
        <v>88.6</v>
      </c>
      <c r="E7" s="46">
        <v>95.2</v>
      </c>
      <c r="F7" s="46">
        <v>89.2</v>
      </c>
      <c r="G7" s="46">
        <v>91.9</v>
      </c>
      <c r="H7" s="46">
        <v>89.2</v>
      </c>
      <c r="I7" s="46">
        <v>87.3</v>
      </c>
      <c r="J7" s="46">
        <v>90.1</v>
      </c>
      <c r="K7" s="46">
        <v>90.6</v>
      </c>
      <c r="L7" s="46">
        <v>89.2</v>
      </c>
      <c r="M7" s="46">
        <v>85.7</v>
      </c>
      <c r="N7" s="75"/>
    </row>
    <row r="8" spans="2:24" x14ac:dyDescent="0.35">
      <c r="B8" s="75"/>
      <c r="C8" s="46">
        <v>88.8</v>
      </c>
      <c r="D8" s="46">
        <v>90.4</v>
      </c>
      <c r="E8" s="46">
        <v>94</v>
      </c>
      <c r="F8" s="46">
        <v>89.7</v>
      </c>
      <c r="G8" s="46">
        <v>91.2</v>
      </c>
      <c r="H8" s="46">
        <v>87.6</v>
      </c>
      <c r="I8" s="46">
        <v>90.6</v>
      </c>
      <c r="J8" s="46">
        <v>89.2</v>
      </c>
      <c r="K8" s="46">
        <v>89.6</v>
      </c>
      <c r="L8" s="46">
        <v>91.4</v>
      </c>
      <c r="M8" s="46">
        <v>85.3</v>
      </c>
      <c r="N8" s="75" t="s">
        <v>4</v>
      </c>
    </row>
    <row r="9" spans="2:24" x14ac:dyDescent="0.35">
      <c r="B9" s="75"/>
      <c r="C9" s="46">
        <v>88.8</v>
      </c>
      <c r="D9" s="46">
        <v>90.1</v>
      </c>
      <c r="E9" s="46">
        <v>91.7</v>
      </c>
      <c r="F9" s="46">
        <v>89.7</v>
      </c>
      <c r="G9" s="46">
        <v>89.6</v>
      </c>
      <c r="H9" s="46">
        <v>89.5</v>
      </c>
      <c r="I9" s="46">
        <v>91.2</v>
      </c>
      <c r="J9" s="46">
        <v>89.3</v>
      </c>
      <c r="K9" s="46">
        <v>89.6</v>
      </c>
      <c r="L9" s="46">
        <v>91.4</v>
      </c>
      <c r="M9" s="46">
        <v>85.4</v>
      </c>
      <c r="N9" s="75"/>
    </row>
    <row r="10" spans="2:24" x14ac:dyDescent="0.35">
      <c r="B10" s="75"/>
      <c r="C10" s="46">
        <v>89</v>
      </c>
      <c r="D10" s="46">
        <v>90.5</v>
      </c>
      <c r="E10" s="46">
        <v>93.8</v>
      </c>
      <c r="F10" s="46">
        <v>90.1</v>
      </c>
      <c r="G10" s="46">
        <v>91.4</v>
      </c>
      <c r="H10" s="46">
        <v>88.6</v>
      </c>
      <c r="I10" s="46">
        <v>91.9</v>
      </c>
      <c r="J10" s="46">
        <v>90</v>
      </c>
      <c r="K10" s="46">
        <v>89.5</v>
      </c>
      <c r="L10" s="46">
        <v>92</v>
      </c>
      <c r="M10" s="46">
        <v>85.4</v>
      </c>
      <c r="N10" s="75"/>
    </row>
    <row r="11" spans="2:24" x14ac:dyDescent="0.35">
      <c r="B11" s="75"/>
      <c r="C11" s="46">
        <v>88.9</v>
      </c>
      <c r="D11" s="46">
        <v>90.2</v>
      </c>
      <c r="E11" s="46">
        <v>94.1</v>
      </c>
      <c r="F11" s="46">
        <v>89</v>
      </c>
      <c r="G11" s="46">
        <v>90.3</v>
      </c>
      <c r="H11" s="46">
        <v>88.2</v>
      </c>
      <c r="I11" s="46">
        <v>91.8</v>
      </c>
      <c r="J11" s="46">
        <v>90.1</v>
      </c>
      <c r="K11" s="46">
        <v>89.7</v>
      </c>
      <c r="L11" s="46">
        <v>92.1</v>
      </c>
      <c r="M11" s="46">
        <v>85.6</v>
      </c>
      <c r="N11" s="75"/>
    </row>
    <row r="12" spans="2:24" x14ac:dyDescent="0.35">
      <c r="B12" s="10" t="s">
        <v>70</v>
      </c>
      <c r="C12" s="46">
        <f>AVERAGE(C4:C11)</f>
        <v>88.05</v>
      </c>
      <c r="D12" s="46">
        <f t="shared" ref="D12:M12" si="0">AVERAGE(D4:D11)</f>
        <v>89.65</v>
      </c>
      <c r="E12" s="46">
        <f t="shared" si="0"/>
        <v>94.174999999999997</v>
      </c>
      <c r="F12" s="46">
        <f t="shared" si="0"/>
        <v>89.55</v>
      </c>
      <c r="G12" s="25">
        <f t="shared" si="0"/>
        <v>91.174999999999983</v>
      </c>
      <c r="H12" s="46">
        <f t="shared" si="0"/>
        <v>88.975000000000009</v>
      </c>
      <c r="I12" s="46">
        <f t="shared" si="0"/>
        <v>89.887500000000003</v>
      </c>
      <c r="J12" s="46">
        <f t="shared" si="0"/>
        <v>89.862499999999997</v>
      </c>
      <c r="K12" s="46">
        <f t="shared" si="0"/>
        <v>90.125000000000014</v>
      </c>
      <c r="L12" s="46">
        <f t="shared" si="0"/>
        <v>90.525000000000006</v>
      </c>
      <c r="M12" s="46">
        <f t="shared" si="0"/>
        <v>85.5625</v>
      </c>
      <c r="N12" s="27"/>
    </row>
    <row r="13" spans="2:24" ht="15" thickBot="1" x14ac:dyDescent="0.4">
      <c r="P13" s="2" t="s">
        <v>5</v>
      </c>
      <c r="Q13" s="2"/>
      <c r="R13" s="2"/>
      <c r="S13" s="2"/>
      <c r="T13" s="2"/>
      <c r="U13" s="2" t="s">
        <v>21</v>
      </c>
      <c r="V13" s="1">
        <v>0.05</v>
      </c>
    </row>
    <row r="14" spans="2:24" ht="15.75" customHeight="1" thickTop="1" x14ac:dyDescent="0.35"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P14" s="3" t="s">
        <v>11</v>
      </c>
      <c r="Q14" s="3" t="s">
        <v>6</v>
      </c>
      <c r="R14" s="3" t="s">
        <v>7</v>
      </c>
      <c r="S14" s="3" t="s">
        <v>8</v>
      </c>
      <c r="T14" s="3" t="s">
        <v>9</v>
      </c>
      <c r="U14" s="3" t="s">
        <v>10</v>
      </c>
      <c r="V14" s="3" t="s">
        <v>18</v>
      </c>
      <c r="W14" s="3" t="s">
        <v>19</v>
      </c>
      <c r="X14" s="3" t="s">
        <v>20</v>
      </c>
    </row>
    <row r="15" spans="2:24" x14ac:dyDescent="0.35">
      <c r="D15" s="2"/>
      <c r="E15" s="2"/>
      <c r="F15" s="2"/>
      <c r="G15" s="2"/>
      <c r="H15" s="2"/>
      <c r="I15" s="2"/>
      <c r="P15" s="2" t="s">
        <v>12</v>
      </c>
      <c r="Q15" s="2">
        <f>COUNT(C4:C11)</f>
        <v>8</v>
      </c>
      <c r="R15" s="2">
        <f>SUM(C4:C11)</f>
        <v>704.4</v>
      </c>
      <c r="S15" s="29">
        <f>AVERAGE(C4:C11)</f>
        <v>88.05</v>
      </c>
      <c r="T15" s="2">
        <f>VAR(C4:C11)</f>
        <v>0.95714285714285574</v>
      </c>
      <c r="U15" s="2">
        <f>DEVSQ(C4:C11)</f>
        <v>6.6999999999999904</v>
      </c>
      <c r="V15" s="1">
        <f t="shared" ref="V15:V25" si="1">SQRT($S$30/Q15)</f>
        <v>0.34800276626009063</v>
      </c>
      <c r="W15" s="1">
        <f t="shared" ref="W15:W25" si="2">S15-V15*TINV($V$13,$R$30)</f>
        <v>87.357037962077271</v>
      </c>
      <c r="X15" s="2">
        <f t="shared" ref="X15:X25" si="3">S15+V15*TINV($V$13,$R$30)</f>
        <v>88.742962037922723</v>
      </c>
    </row>
    <row r="16" spans="2:24" x14ac:dyDescent="0.35">
      <c r="P16" s="2" t="s">
        <v>13</v>
      </c>
      <c r="Q16" s="2">
        <f>COUNT(D4:D11)</f>
        <v>8</v>
      </c>
      <c r="R16" s="2">
        <f>SUM(D4:D11)</f>
        <v>717.2</v>
      </c>
      <c r="S16" s="29">
        <f>AVERAGE(D4:D11)</f>
        <v>89.65</v>
      </c>
      <c r="T16" s="2">
        <f>VAR(D4:D11)</f>
        <v>0.53428571428571814</v>
      </c>
      <c r="U16" s="2">
        <f>DEVSQ(D4:D11)</f>
        <v>3.7400000000000269</v>
      </c>
      <c r="V16" s="2">
        <f t="shared" si="1"/>
        <v>0.34800276626009063</v>
      </c>
      <c r="W16" s="2">
        <f t="shared" si="2"/>
        <v>88.95703796207728</v>
      </c>
      <c r="X16" s="2">
        <f t="shared" si="3"/>
        <v>90.342962037922732</v>
      </c>
    </row>
    <row r="17" spans="5:24" x14ac:dyDescent="0.35">
      <c r="P17" s="2" t="s">
        <v>14</v>
      </c>
      <c r="Q17" s="2">
        <f>COUNT(E4:E11)</f>
        <v>8</v>
      </c>
      <c r="R17" s="2">
        <f>SUM(E4:E11)</f>
        <v>753.4</v>
      </c>
      <c r="S17" s="29">
        <f>AVERAGE(E4:E11)</f>
        <v>94.174999999999997</v>
      </c>
      <c r="T17" s="2">
        <f>VAR(E4:E11)</f>
        <v>1.3735714285714251</v>
      </c>
      <c r="U17" s="2">
        <f>DEVSQ(E4:E11)</f>
        <v>9.6149999999999753</v>
      </c>
      <c r="V17" s="2">
        <f t="shared" si="1"/>
        <v>0.34800276626009063</v>
      </c>
      <c r="W17" s="2">
        <f t="shared" si="2"/>
        <v>93.482037962077271</v>
      </c>
      <c r="X17" s="2">
        <f t="shared" si="3"/>
        <v>94.867962037922723</v>
      </c>
    </row>
    <row r="18" spans="5:24" x14ac:dyDescent="0.35">
      <c r="P18" s="2" t="s">
        <v>15</v>
      </c>
      <c r="Q18" s="2">
        <f>COUNT(F4:F11)</f>
        <v>8</v>
      </c>
      <c r="R18" s="2">
        <f>SUM(F4:F11)</f>
        <v>716.4</v>
      </c>
      <c r="S18" s="29">
        <f>AVERAGE(F4:F11)</f>
        <v>89.55</v>
      </c>
      <c r="T18" s="2">
        <f>VAR(F4:F11)</f>
        <v>0.25142857142856884</v>
      </c>
      <c r="U18" s="2">
        <f>DEVSQ(F4:F11)</f>
        <v>1.759999999999982</v>
      </c>
      <c r="V18" s="2">
        <f t="shared" si="1"/>
        <v>0.34800276626009063</v>
      </c>
      <c r="W18" s="2">
        <f t="shared" si="2"/>
        <v>88.857037962077271</v>
      </c>
      <c r="X18" s="2">
        <f t="shared" si="3"/>
        <v>90.242962037922723</v>
      </c>
    </row>
    <row r="19" spans="5:24" x14ac:dyDescent="0.35">
      <c r="P19" s="2" t="s">
        <v>16</v>
      </c>
      <c r="Q19" s="2">
        <f>COUNT(G4:G11)</f>
        <v>8</v>
      </c>
      <c r="R19" s="2">
        <f>SUM(G4:G11)</f>
        <v>729.39999999999986</v>
      </c>
      <c r="S19" s="29">
        <f>AVERAGE(G4:G11)</f>
        <v>91.174999999999983</v>
      </c>
      <c r="T19" s="2">
        <f>VAR(G4:G11)</f>
        <v>0.93928571428571739</v>
      </c>
      <c r="U19" s="2">
        <f>DEVSQ(G4:G11)</f>
        <v>6.5750000000000215</v>
      </c>
      <c r="V19" s="2">
        <f t="shared" si="1"/>
        <v>0.34800276626009063</v>
      </c>
      <c r="W19" s="2">
        <f t="shared" si="2"/>
        <v>90.482037962077257</v>
      </c>
      <c r="X19" s="2">
        <f t="shared" si="3"/>
        <v>91.867962037922709</v>
      </c>
    </row>
    <row r="20" spans="5:24" x14ac:dyDescent="0.35">
      <c r="P20" s="2" t="s">
        <v>17</v>
      </c>
      <c r="Q20" s="2">
        <f>COUNT(H4:H11)</f>
        <v>8</v>
      </c>
      <c r="R20" s="29">
        <f>SUM(H4:H11)</f>
        <v>711.80000000000007</v>
      </c>
      <c r="S20" s="29">
        <f>AVERAGE(H4:H11)</f>
        <v>88.975000000000009</v>
      </c>
      <c r="T20" s="2">
        <f>VAR(H4:H11)</f>
        <v>0.71357142857142974</v>
      </c>
      <c r="U20" s="2">
        <f>DEVSQ(H4:H11)</f>
        <v>4.9950000000000081</v>
      </c>
      <c r="V20" s="2">
        <f t="shared" si="1"/>
        <v>0.34800276626009063</v>
      </c>
      <c r="W20" s="2">
        <f t="shared" si="2"/>
        <v>88.282037962077283</v>
      </c>
      <c r="X20" s="2">
        <f t="shared" si="3"/>
        <v>89.667962037922734</v>
      </c>
    </row>
    <row r="21" spans="5:24" s="32" customFormat="1" x14ac:dyDescent="0.35">
      <c r="P21" s="48" t="s">
        <v>176</v>
      </c>
      <c r="Q21" s="32">
        <f>COUNT(I4:I11)</f>
        <v>8</v>
      </c>
      <c r="R21" s="53">
        <f>SUM(I4:I11)</f>
        <v>719.1</v>
      </c>
      <c r="S21" s="53">
        <f>AVERAGE(I4:I11)</f>
        <v>89.887500000000003</v>
      </c>
      <c r="T21" s="48">
        <f>VAR(I4:I11)</f>
        <v>3.6612499999999986</v>
      </c>
      <c r="U21" s="48">
        <f>DEVSQ(I4:I11)</f>
        <v>25.628749999999989</v>
      </c>
      <c r="V21" s="48">
        <f t="shared" si="1"/>
        <v>0.34800276626009063</v>
      </c>
      <c r="W21" s="48">
        <f t="shared" si="2"/>
        <v>89.194537962077277</v>
      </c>
      <c r="X21" s="48">
        <f t="shared" si="3"/>
        <v>90.580462037922729</v>
      </c>
    </row>
    <row r="22" spans="5:24" s="32" customFormat="1" x14ac:dyDescent="0.35">
      <c r="P22" s="48" t="s">
        <v>177</v>
      </c>
      <c r="Q22" s="32">
        <f>COUNT(J4:J11)</f>
        <v>8</v>
      </c>
      <c r="R22" s="53">
        <f>SUM(J4:J11)</f>
        <v>718.9</v>
      </c>
      <c r="S22" s="53">
        <f>AVERAGE(J4:J11)</f>
        <v>89.862499999999997</v>
      </c>
      <c r="T22" s="48">
        <f>VAR(J4:J11)</f>
        <v>0.14839285714285655</v>
      </c>
      <c r="U22" s="48">
        <f>DEVSQ(J4:J11)</f>
        <v>1.0387499999999958</v>
      </c>
      <c r="V22" s="48">
        <f t="shared" si="1"/>
        <v>0.34800276626009063</v>
      </c>
      <c r="W22" s="48">
        <f t="shared" si="2"/>
        <v>89.169537962077271</v>
      </c>
      <c r="X22" s="48">
        <f t="shared" si="3"/>
        <v>90.555462037922723</v>
      </c>
    </row>
    <row r="23" spans="5:24" s="32" customFormat="1" x14ac:dyDescent="0.35">
      <c r="P23" s="48" t="s">
        <v>181</v>
      </c>
      <c r="Q23" s="32">
        <f>COUNT(K4:K11)</f>
        <v>8</v>
      </c>
      <c r="R23" s="53">
        <f>SUM(K4:K11)</f>
        <v>721.00000000000011</v>
      </c>
      <c r="S23" s="53">
        <f>AVERAGE(K4:K11)</f>
        <v>90.125000000000014</v>
      </c>
      <c r="T23" s="48">
        <f>VAR(K4:K11)</f>
        <v>0.31928571428571501</v>
      </c>
      <c r="U23" s="48">
        <f>DEVSQ(K4:K11)</f>
        <v>2.2350000000000052</v>
      </c>
      <c r="V23" s="48">
        <f t="shared" si="1"/>
        <v>0.34800276626009063</v>
      </c>
      <c r="W23" s="48">
        <f t="shared" si="2"/>
        <v>89.432037962077288</v>
      </c>
      <c r="X23" s="48">
        <f t="shared" si="3"/>
        <v>90.81796203792274</v>
      </c>
    </row>
    <row r="24" spans="5:24" x14ac:dyDescent="0.35">
      <c r="P24" s="48" t="s">
        <v>182</v>
      </c>
      <c r="Q24" s="48">
        <f>COUNT(L4:L11)</f>
        <v>8</v>
      </c>
      <c r="R24" s="53">
        <f>SUM(L4:L11)</f>
        <v>724.2</v>
      </c>
      <c r="S24" s="53">
        <f>AVERAGE(L4:L11)</f>
        <v>90.525000000000006</v>
      </c>
      <c r="T24" s="48">
        <f>VAR(L4:L11)</f>
        <v>1.7107142857142823</v>
      </c>
      <c r="U24" s="48">
        <f>DEVSQ(L4:L11)</f>
        <v>11.974999999999977</v>
      </c>
      <c r="V24" s="48">
        <f t="shared" si="1"/>
        <v>0.34800276626009063</v>
      </c>
      <c r="W24" s="48">
        <f t="shared" si="2"/>
        <v>89.83203796207728</v>
      </c>
      <c r="X24" s="48">
        <f t="shared" si="3"/>
        <v>91.217962037922732</v>
      </c>
    </row>
    <row r="25" spans="5:24" s="32" customFormat="1" x14ac:dyDescent="0.35">
      <c r="P25" s="4" t="s">
        <v>183</v>
      </c>
      <c r="Q25" s="4">
        <f>COUNT(M4:M11)</f>
        <v>8</v>
      </c>
      <c r="R25" s="49">
        <f>SUM(L5:L12)</f>
        <v>725.42499999999995</v>
      </c>
      <c r="S25" s="49">
        <f>AVERAGE(M4:M11)</f>
        <v>85.5625</v>
      </c>
      <c r="T25" s="4">
        <f>VAR(M4:M11)</f>
        <v>4.839285714285696E-2</v>
      </c>
      <c r="U25" s="4">
        <f>DEVSQ(M4:M11)</f>
        <v>0.33874999999999872</v>
      </c>
      <c r="V25" s="4">
        <f t="shared" si="1"/>
        <v>0.34800276626009063</v>
      </c>
      <c r="W25" s="4">
        <f t="shared" si="2"/>
        <v>84.869537962077274</v>
      </c>
      <c r="X25" s="4">
        <f t="shared" si="3"/>
        <v>86.255462037922726</v>
      </c>
    </row>
    <row r="26" spans="5:24" s="32" customFormat="1" x14ac:dyDescent="0.35">
      <c r="P26" s="48"/>
      <c r="Q26" s="48"/>
      <c r="R26" s="48"/>
      <c r="S26" s="48"/>
      <c r="T26" s="48"/>
      <c r="U26" s="48"/>
      <c r="V26" s="48"/>
      <c r="W26" s="48"/>
      <c r="X26" s="48"/>
    </row>
    <row r="27" spans="5:24" ht="15" thickBot="1" x14ac:dyDescent="0.4">
      <c r="E27" s="2"/>
      <c r="P27" s="1" t="s">
        <v>22</v>
      </c>
    </row>
    <row r="28" spans="5:24" ht="15" thickTop="1" x14ac:dyDescent="0.35">
      <c r="P28" s="3" t="s">
        <v>23</v>
      </c>
      <c r="Q28" s="3" t="s">
        <v>10</v>
      </c>
      <c r="R28" s="3" t="s">
        <v>24</v>
      </c>
      <c r="S28" s="3" t="s">
        <v>25</v>
      </c>
      <c r="T28" s="3" t="s">
        <v>26</v>
      </c>
      <c r="U28" s="3" t="s">
        <v>27</v>
      </c>
      <c r="V28" s="3" t="s">
        <v>28</v>
      </c>
      <c r="W28" s="3" t="s">
        <v>29</v>
      </c>
      <c r="X28" s="3" t="s">
        <v>30</v>
      </c>
    </row>
    <row r="29" spans="5:24" x14ac:dyDescent="0.35">
      <c r="P29" s="1" t="s">
        <v>31</v>
      </c>
      <c r="Q29" s="1">
        <f>Q31-Q30</f>
        <v>347.61863636363631</v>
      </c>
      <c r="R29" s="1">
        <f>COUNTA(P15:P25)-1</f>
        <v>10</v>
      </c>
      <c r="S29" s="1">
        <f>Q29/R29</f>
        <v>34.761863636363628</v>
      </c>
      <c r="T29" s="1">
        <f>S29/S30</f>
        <v>35.879606574956853</v>
      </c>
      <c r="U29" s="1">
        <f>FDIST(T29,R29,R30)</f>
        <v>5.7478644186463174E-25</v>
      </c>
      <c r="V29" s="1">
        <f>FINV(V13,R29,R30)</f>
        <v>1.956024001937567</v>
      </c>
      <c r="W29" s="1">
        <f>SQRT(DEVSQ(S15:S25)/(S30*R29))</f>
        <v>2.1177702476589859</v>
      </c>
      <c r="X29" s="1">
        <f>(Q31-R31*S30)/(Q31+S30)</f>
        <v>0.79853298392469108</v>
      </c>
    </row>
    <row r="30" spans="5:24" x14ac:dyDescent="0.35">
      <c r="P30" s="1" t="s">
        <v>32</v>
      </c>
      <c r="Q30" s="1">
        <f>SUM(U15:U25)</f>
        <v>74.601249999999979</v>
      </c>
      <c r="R30" s="29">
        <f>R31-R29</f>
        <v>77</v>
      </c>
      <c r="S30" s="2">
        <f>Q30/R30</f>
        <v>0.96884740259740232</v>
      </c>
    </row>
    <row r="31" spans="5:24" x14ac:dyDescent="0.35">
      <c r="P31" s="1" t="s">
        <v>33</v>
      </c>
      <c r="Q31" s="1">
        <f>DEVSQ(C4:M11)</f>
        <v>422.21988636363631</v>
      </c>
      <c r="R31" s="29">
        <f>COUNTA(C4:M11)-1</f>
        <v>87</v>
      </c>
      <c r="S31" s="2">
        <f>Q31/R31</f>
        <v>4.8531021421107621</v>
      </c>
    </row>
  </sheetData>
  <mergeCells count="4">
    <mergeCell ref="B4:B11"/>
    <mergeCell ref="N4:N7"/>
    <mergeCell ref="N8:N11"/>
    <mergeCell ref="B2:N2"/>
  </mergeCells>
  <pageMargins left="0.7" right="0.7" top="0.75" bottom="0.75" header="0.3" footer="0.3"/>
  <ignoredErrors>
    <ignoredError sqref="C12 D12:G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1"/>
  <sheetViews>
    <sheetView workbookViewId="0">
      <selection activeCell="H8" sqref="H8"/>
    </sheetView>
  </sheetViews>
  <sheetFormatPr defaultColWidth="9.1796875" defaultRowHeight="14.5" x14ac:dyDescent="0.35"/>
  <cols>
    <col min="1" max="1" width="9.1796875" style="32"/>
    <col min="2" max="2" width="11.453125" style="2" customWidth="1"/>
    <col min="3" max="9" width="9.81640625" style="2" customWidth="1"/>
    <col min="10" max="13" width="9.81640625" style="32" customWidth="1"/>
    <col min="14" max="15" width="9.1796875" style="2"/>
    <col min="16" max="16" width="19.453125" style="2" customWidth="1"/>
    <col min="17" max="17" width="9.1796875" style="2"/>
    <col min="18" max="18" width="12" style="2" bestFit="1" customWidth="1"/>
    <col min="19" max="20" width="9.1796875" style="2"/>
    <col min="21" max="21" width="11.81640625" style="2" bestFit="1" customWidth="1"/>
    <col min="22" max="16384" width="9.1796875" style="2"/>
  </cols>
  <sheetData>
    <row r="1" spans="2:24" s="32" customFormat="1" x14ac:dyDescent="0.35"/>
    <row r="2" spans="2:24" x14ac:dyDescent="0.35">
      <c r="B2" s="76" t="s">
        <v>36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2:24" ht="18" customHeight="1" x14ac:dyDescent="0.35">
      <c r="B3" s="10" t="s">
        <v>0</v>
      </c>
      <c r="C3" s="30">
        <v>1</v>
      </c>
      <c r="D3" s="30">
        <v>2</v>
      </c>
      <c r="E3" s="30">
        <v>3</v>
      </c>
      <c r="F3" s="31">
        <v>4</v>
      </c>
      <c r="G3" s="31">
        <v>5</v>
      </c>
      <c r="H3" s="31">
        <v>6</v>
      </c>
      <c r="I3" s="31">
        <v>7</v>
      </c>
      <c r="J3" s="31">
        <v>8</v>
      </c>
      <c r="K3" s="31">
        <v>9</v>
      </c>
      <c r="L3" s="31">
        <v>10</v>
      </c>
      <c r="M3" s="31">
        <v>11</v>
      </c>
      <c r="N3" s="27"/>
    </row>
    <row r="4" spans="2:24" ht="15" customHeight="1" x14ac:dyDescent="0.35">
      <c r="B4" s="75" t="s">
        <v>180</v>
      </c>
      <c r="C4" s="46">
        <v>89.1</v>
      </c>
      <c r="D4" s="46">
        <v>89</v>
      </c>
      <c r="E4" s="46">
        <v>93.7</v>
      </c>
      <c r="F4" s="25">
        <v>87.7</v>
      </c>
      <c r="G4" s="46">
        <v>89.8</v>
      </c>
      <c r="H4" s="46">
        <v>87.7</v>
      </c>
      <c r="I4" s="46">
        <v>79.8</v>
      </c>
      <c r="J4" s="46">
        <v>90.6</v>
      </c>
      <c r="K4" s="46">
        <v>90.4</v>
      </c>
      <c r="L4" s="46">
        <v>90.2</v>
      </c>
      <c r="M4" s="46">
        <v>85.9</v>
      </c>
      <c r="N4" s="75" t="s">
        <v>3</v>
      </c>
    </row>
    <row r="5" spans="2:24" x14ac:dyDescent="0.35">
      <c r="B5" s="75"/>
      <c r="C5" s="46">
        <v>88.1</v>
      </c>
      <c r="D5" s="46">
        <v>89.1</v>
      </c>
      <c r="E5" s="46">
        <v>91.4</v>
      </c>
      <c r="F5" s="25">
        <v>89.5</v>
      </c>
      <c r="G5" s="46">
        <v>91.5</v>
      </c>
      <c r="H5" s="46">
        <v>89.5</v>
      </c>
      <c r="I5" s="46">
        <v>80</v>
      </c>
      <c r="J5" s="46">
        <v>90.5</v>
      </c>
      <c r="K5" s="46">
        <v>90.5</v>
      </c>
      <c r="L5" s="46">
        <v>90.1</v>
      </c>
      <c r="M5" s="46">
        <v>85.8</v>
      </c>
      <c r="N5" s="75"/>
    </row>
    <row r="6" spans="2:24" x14ac:dyDescent="0.35">
      <c r="B6" s="75"/>
      <c r="C6" s="46">
        <v>89.4</v>
      </c>
      <c r="D6" s="46">
        <v>90.5</v>
      </c>
      <c r="E6" s="46">
        <v>91</v>
      </c>
      <c r="F6" s="25">
        <v>89.4</v>
      </c>
      <c r="G6" s="46">
        <v>91.1</v>
      </c>
      <c r="H6" s="46">
        <v>89.4</v>
      </c>
      <c r="I6" s="46">
        <v>85.3</v>
      </c>
      <c r="J6" s="46">
        <v>90.2</v>
      </c>
      <c r="K6" s="46">
        <v>90.4</v>
      </c>
      <c r="L6" s="46">
        <v>90</v>
      </c>
      <c r="M6" s="46">
        <v>85.8</v>
      </c>
      <c r="N6" s="75"/>
    </row>
    <row r="7" spans="2:24" x14ac:dyDescent="0.35">
      <c r="B7" s="75"/>
      <c r="C7" s="46">
        <v>89.4</v>
      </c>
      <c r="D7" s="46">
        <v>89.2</v>
      </c>
      <c r="E7" s="46">
        <v>90.9</v>
      </c>
      <c r="F7" s="25">
        <v>88</v>
      </c>
      <c r="G7" s="46">
        <v>89.8</v>
      </c>
      <c r="H7" s="46">
        <v>88</v>
      </c>
      <c r="I7" s="46">
        <v>85.2</v>
      </c>
      <c r="J7" s="46">
        <v>90.1</v>
      </c>
      <c r="K7" s="46">
        <v>90.5</v>
      </c>
      <c r="L7" s="46">
        <v>90</v>
      </c>
      <c r="M7" s="46">
        <v>85.8</v>
      </c>
      <c r="N7" s="75"/>
    </row>
    <row r="8" spans="2:24" x14ac:dyDescent="0.35">
      <c r="B8" s="75"/>
      <c r="C8" s="46">
        <v>89.9</v>
      </c>
      <c r="D8" s="46">
        <v>90.8</v>
      </c>
      <c r="E8" s="46">
        <v>94</v>
      </c>
      <c r="F8" s="25">
        <v>87.6</v>
      </c>
      <c r="G8" s="46">
        <v>90.9</v>
      </c>
      <c r="H8" s="46">
        <v>87.6</v>
      </c>
      <c r="I8" s="46">
        <v>92.3</v>
      </c>
      <c r="J8" s="46">
        <v>90.7</v>
      </c>
      <c r="K8" s="46">
        <v>90.8</v>
      </c>
      <c r="L8" s="46">
        <v>92.2</v>
      </c>
      <c r="M8" s="46">
        <v>85.5</v>
      </c>
      <c r="N8" s="75" t="s">
        <v>4</v>
      </c>
    </row>
    <row r="9" spans="2:24" x14ac:dyDescent="0.35">
      <c r="B9" s="75"/>
      <c r="C9" s="46">
        <v>89.9</v>
      </c>
      <c r="D9" s="46">
        <v>90.6</v>
      </c>
      <c r="E9" s="46">
        <v>91.7</v>
      </c>
      <c r="F9" s="25">
        <v>89.5</v>
      </c>
      <c r="G9" s="46">
        <v>92.7</v>
      </c>
      <c r="H9" s="46">
        <v>89.5</v>
      </c>
      <c r="I9" s="46">
        <v>91.9</v>
      </c>
      <c r="J9" s="46">
        <v>90.5</v>
      </c>
      <c r="K9" s="46">
        <v>90.9</v>
      </c>
      <c r="L9" s="46">
        <v>92.2</v>
      </c>
      <c r="M9" s="46">
        <v>85.9</v>
      </c>
      <c r="N9" s="75"/>
    </row>
    <row r="10" spans="2:24" x14ac:dyDescent="0.35">
      <c r="B10" s="75"/>
      <c r="C10" s="46">
        <v>87.2</v>
      </c>
      <c r="D10" s="46">
        <v>90.4</v>
      </c>
      <c r="E10" s="46">
        <v>93.8</v>
      </c>
      <c r="F10" s="25">
        <v>88.6</v>
      </c>
      <c r="G10" s="46">
        <v>90.6</v>
      </c>
      <c r="H10" s="46">
        <v>88.6</v>
      </c>
      <c r="I10" s="46">
        <v>92.2</v>
      </c>
      <c r="J10" s="46">
        <v>90.6</v>
      </c>
      <c r="K10" s="46">
        <v>90.8</v>
      </c>
      <c r="L10" s="46">
        <v>92.2</v>
      </c>
      <c r="M10" s="46">
        <v>85.4</v>
      </c>
      <c r="N10" s="75"/>
    </row>
    <row r="11" spans="2:24" x14ac:dyDescent="0.35">
      <c r="B11" s="75"/>
      <c r="C11" s="46">
        <v>87</v>
      </c>
      <c r="D11" s="46">
        <v>90.3</v>
      </c>
      <c r="E11" s="46">
        <v>94.1</v>
      </c>
      <c r="F11" s="25">
        <v>88.2</v>
      </c>
      <c r="G11" s="46">
        <v>91.4</v>
      </c>
      <c r="H11" s="46">
        <v>88.2</v>
      </c>
      <c r="I11" s="46">
        <v>92.3</v>
      </c>
      <c r="J11" s="46">
        <v>90.5</v>
      </c>
      <c r="K11" s="46">
        <v>90.5</v>
      </c>
      <c r="L11" s="46">
        <v>92.2</v>
      </c>
      <c r="M11" s="46">
        <v>85.9</v>
      </c>
      <c r="N11" s="75"/>
    </row>
    <row r="12" spans="2:24" x14ac:dyDescent="0.35">
      <c r="B12" s="10" t="s">
        <v>70</v>
      </c>
      <c r="C12" s="46">
        <f>AVERAGE(C4:C11)</f>
        <v>88.75</v>
      </c>
      <c r="D12" s="46">
        <f t="shared" ref="D12:M12" si="0">AVERAGE(D4:D11)</f>
        <v>89.987499999999997</v>
      </c>
      <c r="E12" s="46">
        <f t="shared" si="0"/>
        <v>92.575000000000003</v>
      </c>
      <c r="F12" s="25">
        <f t="shared" si="0"/>
        <v>88.562500000000014</v>
      </c>
      <c r="G12" s="46">
        <f t="shared" si="0"/>
        <v>90.975000000000009</v>
      </c>
      <c r="H12" s="46">
        <f t="shared" si="0"/>
        <v>88.562500000000014</v>
      </c>
      <c r="I12" s="46">
        <f t="shared" si="0"/>
        <v>87.375</v>
      </c>
      <c r="J12" s="46">
        <f t="shared" si="0"/>
        <v>90.462499999999991</v>
      </c>
      <c r="K12" s="46">
        <f t="shared" si="0"/>
        <v>90.6</v>
      </c>
      <c r="L12" s="46">
        <f t="shared" si="0"/>
        <v>91.137500000000017</v>
      </c>
      <c r="M12" s="46">
        <f t="shared" si="0"/>
        <v>85.75</v>
      </c>
      <c r="N12" s="27"/>
    </row>
    <row r="13" spans="2:24" ht="15" thickBot="1" x14ac:dyDescent="0.4">
      <c r="P13" s="2" t="s">
        <v>5</v>
      </c>
      <c r="U13" s="2" t="s">
        <v>21</v>
      </c>
      <c r="V13" s="2">
        <v>0.05</v>
      </c>
    </row>
    <row r="14" spans="2:24" ht="15" thickTop="1" x14ac:dyDescent="0.35">
      <c r="P14" s="3" t="s">
        <v>11</v>
      </c>
      <c r="Q14" s="3" t="s">
        <v>6</v>
      </c>
      <c r="R14" s="3" t="s">
        <v>7</v>
      </c>
      <c r="S14" s="3" t="s">
        <v>8</v>
      </c>
      <c r="T14" s="3" t="s">
        <v>9</v>
      </c>
      <c r="U14" s="3" t="s">
        <v>10</v>
      </c>
      <c r="V14" s="3" t="s">
        <v>18</v>
      </c>
      <c r="W14" s="3" t="s">
        <v>19</v>
      </c>
      <c r="X14" s="3" t="s">
        <v>20</v>
      </c>
    </row>
    <row r="15" spans="2:24" x14ac:dyDescent="0.35">
      <c r="P15" s="2" t="s">
        <v>12</v>
      </c>
      <c r="Q15" s="2">
        <f>COUNT(C4:C11)</f>
        <v>8</v>
      </c>
      <c r="R15" s="29">
        <f>SUM(C4:C11)</f>
        <v>710</v>
      </c>
      <c r="S15" s="29">
        <f>AVERAGE(C4:C11)</f>
        <v>88.75</v>
      </c>
      <c r="T15" s="2">
        <f>VAR(C4:C11)</f>
        <v>1.3571428571428623</v>
      </c>
      <c r="U15" s="2">
        <f>DEVSQ(C4:C11)</f>
        <v>9.5000000000000355</v>
      </c>
      <c r="V15" s="2">
        <f t="shared" ref="V15:V25" si="1">SQRT($S$30/Q15)</f>
        <v>0.65773216976430249</v>
      </c>
      <c r="W15" s="2">
        <f t="shared" ref="W15:W25" si="2">S15-V15*TINV($V$13,$R$30)</f>
        <v>87.440287925968491</v>
      </c>
      <c r="X15" s="2">
        <f t="shared" ref="X15:X25" si="3">S15+V15*TINV($V$13,$R$30)</f>
        <v>90.059712074031509</v>
      </c>
    </row>
    <row r="16" spans="2:24" x14ac:dyDescent="0.35">
      <c r="P16" s="2" t="s">
        <v>13</v>
      </c>
      <c r="Q16" s="2">
        <f>COUNT(D4:D11)</f>
        <v>8</v>
      </c>
      <c r="R16" s="29">
        <f>SUM(D4:D11)</f>
        <v>719.9</v>
      </c>
      <c r="S16" s="29">
        <f>AVERAGE(D4:D11)</f>
        <v>89.987499999999997</v>
      </c>
      <c r="T16" s="2">
        <f>VAR(D4:D11)</f>
        <v>0.56410714285714236</v>
      </c>
      <c r="U16" s="2">
        <f>DEVSQ(D4:D11)</f>
        <v>3.9487499999999969</v>
      </c>
      <c r="V16" s="2">
        <f t="shared" si="1"/>
        <v>0.65773216976430249</v>
      </c>
      <c r="W16" s="2">
        <f t="shared" si="2"/>
        <v>88.677787925968488</v>
      </c>
      <c r="X16" s="2">
        <f t="shared" si="3"/>
        <v>91.297212074031506</v>
      </c>
    </row>
    <row r="17" spans="16:24" x14ac:dyDescent="0.35">
      <c r="P17" s="2" t="s">
        <v>14</v>
      </c>
      <c r="Q17" s="2">
        <f>COUNT(E4:E11)</f>
        <v>8</v>
      </c>
      <c r="R17" s="29">
        <f>SUM(E4:E11)</f>
        <v>740.6</v>
      </c>
      <c r="S17" s="29">
        <f>AVERAGE(E4:E11)</f>
        <v>92.575000000000003</v>
      </c>
      <c r="T17" s="2">
        <f>VAR(E4:E11)</f>
        <v>2.0792857142857062</v>
      </c>
      <c r="U17" s="2">
        <f>DEVSQ(E4:E11)</f>
        <v>14.554999999999943</v>
      </c>
      <c r="V17" s="2">
        <f t="shared" si="1"/>
        <v>0.65773216976430249</v>
      </c>
      <c r="W17" s="2">
        <f t="shared" si="2"/>
        <v>91.265287925968494</v>
      </c>
      <c r="X17" s="2">
        <f t="shared" si="3"/>
        <v>93.884712074031512</v>
      </c>
    </row>
    <row r="18" spans="16:24" x14ac:dyDescent="0.35">
      <c r="P18" s="2" t="s">
        <v>15</v>
      </c>
      <c r="Q18" s="2">
        <f>COUNT(F4:F11)</f>
        <v>8</v>
      </c>
      <c r="R18" s="6">
        <f>SUM(F4:F11)</f>
        <v>708.50000000000011</v>
      </c>
      <c r="S18" s="6">
        <f>AVERAGE(F4:F11)</f>
        <v>88.562500000000014</v>
      </c>
      <c r="T18" s="2">
        <f>VAR(F4:F11)</f>
        <v>0.65410714285714477</v>
      </c>
      <c r="U18" s="2">
        <f>DEVSQ(F4:F11)</f>
        <v>4.5787500000000136</v>
      </c>
      <c r="V18" s="2">
        <f t="shared" si="1"/>
        <v>0.65773216976430249</v>
      </c>
      <c r="W18" s="2">
        <f t="shared" si="2"/>
        <v>87.252787925968505</v>
      </c>
      <c r="X18" s="2">
        <f t="shared" si="3"/>
        <v>89.872212074031523</v>
      </c>
    </row>
    <row r="19" spans="16:24" x14ac:dyDescent="0.35">
      <c r="P19" s="2" t="s">
        <v>16</v>
      </c>
      <c r="Q19" s="2">
        <f>COUNT(G4:G11)</f>
        <v>8</v>
      </c>
      <c r="R19" s="29">
        <f>SUM(G4:G11)</f>
        <v>727.80000000000007</v>
      </c>
      <c r="S19" s="29">
        <f>AVERAGE(G4:G11)</f>
        <v>90.975000000000009</v>
      </c>
      <c r="T19" s="2">
        <f>VAR(G4:G11)</f>
        <v>0.90785714285714714</v>
      </c>
      <c r="U19" s="2">
        <f>DEVSQ(G4:G11)</f>
        <v>6.3550000000000297</v>
      </c>
      <c r="V19" s="2">
        <f t="shared" si="1"/>
        <v>0.65773216976430249</v>
      </c>
      <c r="W19" s="2">
        <f t="shared" si="2"/>
        <v>89.665287925968499</v>
      </c>
      <c r="X19" s="2">
        <f t="shared" si="3"/>
        <v>92.284712074031518</v>
      </c>
    </row>
    <row r="20" spans="16:24" x14ac:dyDescent="0.35">
      <c r="P20" s="2" t="s">
        <v>17</v>
      </c>
      <c r="Q20" s="2">
        <f>COUNT(H4:H11)</f>
        <v>8</v>
      </c>
      <c r="R20" s="29">
        <f>SUM(H4:H11)</f>
        <v>708.50000000000011</v>
      </c>
      <c r="S20" s="29">
        <f>AVERAGE(H4:H11)</f>
        <v>88.562500000000014</v>
      </c>
      <c r="T20" s="2">
        <f>VAR(H4:H11)</f>
        <v>0.65410714285714477</v>
      </c>
      <c r="U20" s="2">
        <f>DEVSQ(H4:H11)</f>
        <v>4.5787500000000136</v>
      </c>
      <c r="V20" s="2">
        <f t="shared" si="1"/>
        <v>0.65773216976430249</v>
      </c>
      <c r="W20" s="2">
        <f t="shared" si="2"/>
        <v>87.252787925968505</v>
      </c>
      <c r="X20" s="2">
        <f t="shared" si="3"/>
        <v>89.872212074031523</v>
      </c>
    </row>
    <row r="21" spans="16:24" x14ac:dyDescent="0.35">
      <c r="P21" s="48" t="s">
        <v>176</v>
      </c>
      <c r="Q21" s="48">
        <f>COUNT(I4:I11)</f>
        <v>8</v>
      </c>
      <c r="R21" s="53">
        <f>SUM(I4:I11)</f>
        <v>699</v>
      </c>
      <c r="S21" s="53">
        <f>AVERAGE(I4:I11)</f>
        <v>87.375</v>
      </c>
      <c r="T21" s="48">
        <f>VAR(I4:I11)</f>
        <v>30.439285714285724</v>
      </c>
      <c r="U21" s="48">
        <f>DEVSQ(I4:I11)</f>
        <v>213.07500000000007</v>
      </c>
      <c r="V21" s="48">
        <f t="shared" si="1"/>
        <v>0.65773216976430249</v>
      </c>
      <c r="W21" s="48">
        <f t="shared" si="2"/>
        <v>86.065287925968491</v>
      </c>
      <c r="X21" s="48">
        <f t="shared" si="3"/>
        <v>88.684712074031509</v>
      </c>
    </row>
    <row r="22" spans="16:24" s="32" customFormat="1" x14ac:dyDescent="0.35">
      <c r="P22" s="48" t="s">
        <v>177</v>
      </c>
      <c r="Q22" s="48">
        <f>COUNT(J4:J11)</f>
        <v>8</v>
      </c>
      <c r="R22" s="53">
        <f>SUM(J4:J11)</f>
        <v>723.69999999999993</v>
      </c>
      <c r="S22" s="53">
        <f>AVERAGE(J4:J11)</f>
        <v>90.462499999999991</v>
      </c>
      <c r="T22" s="48">
        <f>VAR(J4:J11)</f>
        <v>4.2678571428571566E-2</v>
      </c>
      <c r="U22" s="48">
        <f>DEVSQ(J4:J11)</f>
        <v>0.29875000000000096</v>
      </c>
      <c r="V22" s="48">
        <f t="shared" si="1"/>
        <v>0.65773216976430249</v>
      </c>
      <c r="W22" s="48">
        <f t="shared" si="2"/>
        <v>89.152787925968482</v>
      </c>
      <c r="X22" s="48">
        <f t="shared" si="3"/>
        <v>91.772212074031501</v>
      </c>
    </row>
    <row r="23" spans="16:24" s="32" customFormat="1" x14ac:dyDescent="0.35">
      <c r="P23" s="48" t="s">
        <v>181</v>
      </c>
      <c r="Q23" s="48">
        <f>COUNT(K4:K11)</f>
        <v>8</v>
      </c>
      <c r="R23" s="53">
        <f>SUM(K4:K11)</f>
        <v>724.8</v>
      </c>
      <c r="S23" s="53">
        <f>AVERAGE(K4:K11)</f>
        <v>90.6</v>
      </c>
      <c r="T23" s="48">
        <f>VAR(K4:K11)</f>
        <v>3.9999999999999515E-2</v>
      </c>
      <c r="U23" s="48">
        <f>DEVSQ(K4:K11)</f>
        <v>0.27999999999999658</v>
      </c>
      <c r="V23" s="48">
        <f t="shared" si="1"/>
        <v>0.65773216976430249</v>
      </c>
      <c r="W23" s="48">
        <f t="shared" si="2"/>
        <v>89.290287925968485</v>
      </c>
      <c r="X23" s="48">
        <f t="shared" si="3"/>
        <v>91.909712074031503</v>
      </c>
    </row>
    <row r="24" spans="16:24" s="32" customFormat="1" x14ac:dyDescent="0.35">
      <c r="P24" s="48" t="s">
        <v>182</v>
      </c>
      <c r="Q24" s="48">
        <f>COUNT(L4:L11)</f>
        <v>8</v>
      </c>
      <c r="R24" s="51">
        <f>SUM(L4:L11)</f>
        <v>729.10000000000014</v>
      </c>
      <c r="S24" s="51">
        <f>AVERAGE(L4:L11)</f>
        <v>91.137500000000017</v>
      </c>
      <c r="T24" s="48">
        <f>VAR(L4:L11)</f>
        <v>1.2941071428571473</v>
      </c>
      <c r="U24" s="48">
        <f>DEVSQ(L4:L11)</f>
        <v>9.0587500000000318</v>
      </c>
      <c r="V24" s="48">
        <f t="shared" si="1"/>
        <v>0.65773216976430249</v>
      </c>
      <c r="W24" s="48">
        <f t="shared" si="2"/>
        <v>89.827787925968508</v>
      </c>
      <c r="X24" s="48">
        <f t="shared" si="3"/>
        <v>92.447212074031526</v>
      </c>
    </row>
    <row r="25" spans="16:24" s="32" customFormat="1" x14ac:dyDescent="0.35">
      <c r="P25" s="4" t="s">
        <v>183</v>
      </c>
      <c r="Q25" s="4">
        <f>COUNT(M4:M11)</f>
        <v>8</v>
      </c>
      <c r="R25" s="50">
        <f>SUM(M4:M11)</f>
        <v>686</v>
      </c>
      <c r="S25" s="50">
        <f>AVERAGE(M4:M11)</f>
        <v>85.75</v>
      </c>
      <c r="T25" s="4">
        <f>VAR(M4:M11)</f>
        <v>3.7142857142857186E-2</v>
      </c>
      <c r="U25" s="4">
        <f>DEVSQ(M4:M11)</f>
        <v>0.26000000000000029</v>
      </c>
      <c r="V25" s="4">
        <f t="shared" si="1"/>
        <v>0.65773216976430249</v>
      </c>
      <c r="W25" s="4">
        <f t="shared" si="2"/>
        <v>84.440287925968491</v>
      </c>
      <c r="X25" s="4">
        <f t="shared" si="3"/>
        <v>87.059712074031509</v>
      </c>
    </row>
    <row r="27" spans="16:24" ht="15" thickBot="1" x14ac:dyDescent="0.4">
      <c r="P27" s="2" t="s">
        <v>22</v>
      </c>
    </row>
    <row r="28" spans="16:24" ht="15" thickTop="1" x14ac:dyDescent="0.35">
      <c r="P28" s="3" t="s">
        <v>23</v>
      </c>
      <c r="Q28" s="3" t="s">
        <v>10</v>
      </c>
      <c r="R28" s="3" t="s">
        <v>24</v>
      </c>
      <c r="S28" s="3" t="s">
        <v>25</v>
      </c>
      <c r="T28" s="3" t="s">
        <v>26</v>
      </c>
      <c r="U28" s="3" t="s">
        <v>27</v>
      </c>
      <c r="V28" s="3" t="s">
        <v>28</v>
      </c>
      <c r="W28" s="3" t="s">
        <v>29</v>
      </c>
      <c r="X28" s="3" t="s">
        <v>30</v>
      </c>
    </row>
    <row r="29" spans="16:24" x14ac:dyDescent="0.35">
      <c r="P29" s="2" t="s">
        <v>31</v>
      </c>
      <c r="Q29" s="2">
        <f>Q31-Q30</f>
        <v>300.64022727272732</v>
      </c>
      <c r="R29" s="2">
        <f>COUNTA(P15:P25)-1</f>
        <v>10</v>
      </c>
      <c r="S29" s="2">
        <f>Q29/R29</f>
        <v>30.064022727272732</v>
      </c>
      <c r="T29" s="2">
        <f>S29/S30</f>
        <v>8.6867822750491328</v>
      </c>
      <c r="U29" s="2">
        <f>FDIST(T29,R29,R30)</f>
        <v>2.3955276823095068E-9</v>
      </c>
      <c r="V29" s="2">
        <f>FINV(V13,R29,R30)</f>
        <v>1.956024001937567</v>
      </c>
      <c r="W29" s="2">
        <f>SQRT(DEVSQ(S15:S25)/(S30*R29))</f>
        <v>1.0420402028622224</v>
      </c>
      <c r="X29" s="2">
        <f>(Q31-R31*S30)/(Q31+S30)</f>
        <v>0.46623908454727409</v>
      </c>
    </row>
    <row r="30" spans="16:24" x14ac:dyDescent="0.35">
      <c r="P30" s="2" t="s">
        <v>32</v>
      </c>
      <c r="Q30" s="2">
        <f>SUM(U15:U25)</f>
        <v>266.4887500000001</v>
      </c>
      <c r="R30" s="29">
        <f>R31-R29</f>
        <v>77</v>
      </c>
      <c r="S30" s="2">
        <f>Q30/R30</f>
        <v>3.4608928571428583</v>
      </c>
    </row>
    <row r="31" spans="16:24" x14ac:dyDescent="0.35">
      <c r="P31" s="2" t="s">
        <v>33</v>
      </c>
      <c r="Q31" s="2">
        <f>DEVSQ(C4:M11)</f>
        <v>567.12897727272741</v>
      </c>
      <c r="R31" s="29">
        <f>COUNTA(C4:M11)-1</f>
        <v>87</v>
      </c>
      <c r="S31" s="2">
        <f>Q31/R31</f>
        <v>6.518723876698016</v>
      </c>
    </row>
  </sheetData>
  <mergeCells count="4">
    <mergeCell ref="B4:B11"/>
    <mergeCell ref="N4:N7"/>
    <mergeCell ref="N8:N11"/>
    <mergeCell ref="B2:N2"/>
  </mergeCells>
  <pageMargins left="0.7" right="0.7" top="0.75" bottom="0.75" header="0.3" footer="0.3"/>
  <ignoredErrors>
    <ignoredError sqref="C12 D12:G12 H12:I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1"/>
  <sheetViews>
    <sheetView zoomScaleNormal="100" workbookViewId="0">
      <selection activeCell="H12" sqref="H12"/>
    </sheetView>
  </sheetViews>
  <sheetFormatPr defaultColWidth="9.1796875" defaultRowHeight="14.5" x14ac:dyDescent="0.35"/>
  <cols>
    <col min="1" max="1" width="9.1796875" style="32"/>
    <col min="2" max="2" width="11.453125" style="2" customWidth="1"/>
    <col min="3" max="9" width="9.81640625" style="2" customWidth="1"/>
    <col min="10" max="13" width="9.81640625" style="32" customWidth="1"/>
    <col min="14" max="15" width="9.1796875" style="2"/>
    <col min="16" max="16" width="18" style="2" customWidth="1"/>
    <col min="17" max="16384" width="9.1796875" style="2"/>
  </cols>
  <sheetData>
    <row r="1" spans="2:24" s="32" customFormat="1" x14ac:dyDescent="0.35"/>
    <row r="2" spans="2:24" x14ac:dyDescent="0.35">
      <c r="B2" s="77" t="s">
        <v>37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2:24" ht="18" customHeight="1" x14ac:dyDescent="0.35">
      <c r="B3" s="10" t="s">
        <v>0</v>
      </c>
      <c r="C3" s="30">
        <v>1</v>
      </c>
      <c r="D3" s="30">
        <v>2</v>
      </c>
      <c r="E3" s="30">
        <v>3</v>
      </c>
      <c r="F3" s="31">
        <v>4</v>
      </c>
      <c r="G3" s="31">
        <v>5</v>
      </c>
      <c r="H3" s="31">
        <v>6</v>
      </c>
      <c r="I3" s="31">
        <v>7</v>
      </c>
      <c r="J3" s="31">
        <v>8</v>
      </c>
      <c r="K3" s="31">
        <v>9</v>
      </c>
      <c r="L3" s="31">
        <v>10</v>
      </c>
      <c r="M3" s="31">
        <v>11</v>
      </c>
      <c r="N3" s="27"/>
    </row>
    <row r="4" spans="2:24" ht="15" customHeight="1" x14ac:dyDescent="0.35">
      <c r="B4" s="75" t="s">
        <v>180</v>
      </c>
      <c r="C4" s="46">
        <v>11.9</v>
      </c>
      <c r="D4" s="46">
        <v>11.9</v>
      </c>
      <c r="E4" s="46">
        <v>12.1</v>
      </c>
      <c r="F4" s="46">
        <v>11.7</v>
      </c>
      <c r="G4" s="46">
        <v>11.8</v>
      </c>
      <c r="H4" s="46">
        <v>11.7</v>
      </c>
      <c r="I4" s="46">
        <v>12.2</v>
      </c>
      <c r="J4" s="46">
        <v>12.1</v>
      </c>
      <c r="K4" s="46">
        <v>12.1</v>
      </c>
      <c r="L4" s="46">
        <v>12.1</v>
      </c>
      <c r="M4" s="46">
        <v>12</v>
      </c>
      <c r="N4" s="75" t="s">
        <v>3</v>
      </c>
    </row>
    <row r="5" spans="2:24" x14ac:dyDescent="0.35">
      <c r="B5" s="75"/>
      <c r="C5" s="46">
        <v>11.9</v>
      </c>
      <c r="D5" s="46">
        <v>12.2</v>
      </c>
      <c r="E5" s="46">
        <v>12.1</v>
      </c>
      <c r="F5" s="46">
        <v>11.7</v>
      </c>
      <c r="G5" s="46">
        <v>11.9</v>
      </c>
      <c r="H5" s="46">
        <v>11.7</v>
      </c>
      <c r="I5" s="46">
        <v>12.1</v>
      </c>
      <c r="J5" s="46">
        <v>12.1</v>
      </c>
      <c r="K5" s="46">
        <v>12.1</v>
      </c>
      <c r="L5" s="46">
        <v>12.1</v>
      </c>
      <c r="M5" s="46">
        <v>12</v>
      </c>
      <c r="N5" s="75"/>
    </row>
    <row r="6" spans="2:24" x14ac:dyDescent="0.35">
      <c r="B6" s="75"/>
      <c r="C6" s="46">
        <v>11.9</v>
      </c>
      <c r="D6" s="46">
        <v>11.9</v>
      </c>
      <c r="E6" s="46">
        <v>12.5</v>
      </c>
      <c r="F6" s="46">
        <v>11.6</v>
      </c>
      <c r="G6" s="46">
        <v>11.5</v>
      </c>
      <c r="H6" s="46">
        <v>11.6</v>
      </c>
      <c r="I6" s="46">
        <v>10.8</v>
      </c>
      <c r="J6" s="46">
        <v>12.1</v>
      </c>
      <c r="K6" s="46">
        <v>12.1</v>
      </c>
      <c r="L6" s="46">
        <v>12.1</v>
      </c>
      <c r="M6" s="46">
        <v>12</v>
      </c>
      <c r="N6" s="75"/>
    </row>
    <row r="7" spans="2:24" x14ac:dyDescent="0.35">
      <c r="B7" s="75"/>
      <c r="C7" s="46">
        <v>11.9</v>
      </c>
      <c r="D7" s="46">
        <v>11.9</v>
      </c>
      <c r="E7" s="46">
        <v>12.1</v>
      </c>
      <c r="F7" s="46">
        <v>11.7</v>
      </c>
      <c r="G7" s="46">
        <v>11.7</v>
      </c>
      <c r="H7" s="46">
        <v>11.7</v>
      </c>
      <c r="I7" s="46">
        <v>10.8</v>
      </c>
      <c r="J7" s="46">
        <v>12.1</v>
      </c>
      <c r="K7" s="46">
        <v>12.1</v>
      </c>
      <c r="L7" s="46">
        <v>12.1</v>
      </c>
      <c r="M7" s="46">
        <v>12</v>
      </c>
      <c r="N7" s="75"/>
    </row>
    <row r="8" spans="2:24" x14ac:dyDescent="0.35">
      <c r="B8" s="75"/>
      <c r="C8" s="46">
        <v>12</v>
      </c>
      <c r="D8" s="46">
        <v>12.2</v>
      </c>
      <c r="E8" s="46">
        <v>12.5</v>
      </c>
      <c r="F8" s="46">
        <v>11.6</v>
      </c>
      <c r="G8" s="46">
        <v>11.5</v>
      </c>
      <c r="H8" s="46">
        <v>11.6</v>
      </c>
      <c r="I8" s="46">
        <v>12.3</v>
      </c>
      <c r="J8" s="46">
        <v>12</v>
      </c>
      <c r="K8" s="46">
        <v>12.3</v>
      </c>
      <c r="L8" s="46">
        <v>12.4</v>
      </c>
      <c r="M8" s="46">
        <v>12</v>
      </c>
      <c r="N8" s="75" t="s">
        <v>4</v>
      </c>
    </row>
    <row r="9" spans="2:24" x14ac:dyDescent="0.35">
      <c r="B9" s="75"/>
      <c r="C9" s="46">
        <v>12</v>
      </c>
      <c r="D9" s="46">
        <v>12.2</v>
      </c>
      <c r="E9" s="46">
        <v>12.2</v>
      </c>
      <c r="F9" s="46">
        <v>11.5</v>
      </c>
      <c r="G9" s="46">
        <v>11.3</v>
      </c>
      <c r="H9" s="46">
        <v>11.5</v>
      </c>
      <c r="I9" s="46">
        <v>12.3</v>
      </c>
      <c r="J9" s="46">
        <v>12</v>
      </c>
      <c r="K9" s="46">
        <v>12.3</v>
      </c>
      <c r="L9" s="46">
        <v>12.4</v>
      </c>
      <c r="M9" s="46">
        <v>12</v>
      </c>
      <c r="N9" s="75"/>
    </row>
    <row r="10" spans="2:24" x14ac:dyDescent="0.35">
      <c r="B10" s="75"/>
      <c r="C10" s="46">
        <v>12.1</v>
      </c>
      <c r="D10" s="46">
        <v>12</v>
      </c>
      <c r="E10" s="46">
        <v>12</v>
      </c>
      <c r="F10" s="46">
        <v>11.7</v>
      </c>
      <c r="G10" s="46">
        <v>11.6</v>
      </c>
      <c r="H10" s="46">
        <v>11.7</v>
      </c>
      <c r="I10" s="46">
        <v>12.3</v>
      </c>
      <c r="J10" s="46">
        <v>12</v>
      </c>
      <c r="K10" s="46">
        <v>12.3</v>
      </c>
      <c r="L10" s="46">
        <v>12.4</v>
      </c>
      <c r="M10" s="46">
        <v>12</v>
      </c>
      <c r="N10" s="75"/>
    </row>
    <row r="11" spans="2:24" x14ac:dyDescent="0.35">
      <c r="B11" s="75"/>
      <c r="C11" s="46">
        <v>12.1</v>
      </c>
      <c r="D11" s="46">
        <v>12</v>
      </c>
      <c r="E11" s="46">
        <v>12</v>
      </c>
      <c r="F11" s="46">
        <v>11.8</v>
      </c>
      <c r="G11" s="46">
        <v>11.8</v>
      </c>
      <c r="H11" s="46">
        <v>11.8</v>
      </c>
      <c r="I11" s="46">
        <v>12.2</v>
      </c>
      <c r="J11" s="46">
        <v>12</v>
      </c>
      <c r="K11" s="46">
        <v>12.4</v>
      </c>
      <c r="L11" s="46">
        <v>12.4</v>
      </c>
      <c r="M11" s="46">
        <v>12</v>
      </c>
      <c r="N11" s="75"/>
    </row>
    <row r="12" spans="2:24" x14ac:dyDescent="0.35">
      <c r="B12" s="10" t="s">
        <v>70</v>
      </c>
      <c r="C12" s="46">
        <f>AVERAGE(C4:C11)</f>
        <v>11.974999999999998</v>
      </c>
      <c r="D12" s="46">
        <f t="shared" ref="D12:M12" si="0">AVERAGE(D4:D11)</f>
        <v>12.0375</v>
      </c>
      <c r="E12" s="46">
        <f t="shared" si="0"/>
        <v>12.1875</v>
      </c>
      <c r="F12" s="46">
        <f t="shared" si="0"/>
        <v>11.662500000000001</v>
      </c>
      <c r="G12" s="46">
        <f t="shared" si="0"/>
        <v>11.637499999999999</v>
      </c>
      <c r="H12" s="46">
        <f t="shared" si="0"/>
        <v>11.662500000000001</v>
      </c>
      <c r="I12" s="46">
        <f t="shared" si="0"/>
        <v>11.874999999999998</v>
      </c>
      <c r="J12" s="46">
        <f t="shared" si="0"/>
        <v>12.05</v>
      </c>
      <c r="K12" s="46">
        <f t="shared" si="0"/>
        <v>12.2125</v>
      </c>
      <c r="L12" s="46">
        <f t="shared" si="0"/>
        <v>12.250000000000002</v>
      </c>
      <c r="M12" s="46">
        <f t="shared" si="0"/>
        <v>12</v>
      </c>
      <c r="N12" s="27"/>
    </row>
    <row r="13" spans="2:24" ht="15" thickBot="1" x14ac:dyDescent="0.4">
      <c r="K13" s="29"/>
      <c r="P13" s="2" t="s">
        <v>5</v>
      </c>
      <c r="U13" s="2" t="s">
        <v>21</v>
      </c>
      <c r="V13" s="2">
        <v>0.05</v>
      </c>
    </row>
    <row r="14" spans="2:24" ht="15" thickTop="1" x14ac:dyDescent="0.35">
      <c r="P14" s="3" t="s">
        <v>11</v>
      </c>
      <c r="Q14" s="3" t="s">
        <v>6</v>
      </c>
      <c r="R14" s="3" t="s">
        <v>7</v>
      </c>
      <c r="S14" s="3" t="s">
        <v>8</v>
      </c>
      <c r="T14" s="3" t="s">
        <v>9</v>
      </c>
      <c r="U14" s="3" t="s">
        <v>10</v>
      </c>
      <c r="V14" s="3" t="s">
        <v>18</v>
      </c>
      <c r="W14" s="3" t="s">
        <v>19</v>
      </c>
      <c r="X14" s="3" t="s">
        <v>20</v>
      </c>
    </row>
    <row r="15" spans="2:24" x14ac:dyDescent="0.35">
      <c r="P15" s="2" t="s">
        <v>12</v>
      </c>
      <c r="Q15" s="2">
        <f>COUNT(C4:C11)</f>
        <v>8</v>
      </c>
      <c r="R15" s="2">
        <f>SUM(C4:C11)</f>
        <v>95.799999999999983</v>
      </c>
      <c r="S15" s="2">
        <f>AVERAGE(C4:C11)</f>
        <v>11.974999999999998</v>
      </c>
      <c r="T15" s="2">
        <f>VAR(C4:C11)</f>
        <v>7.8571428571428022E-3</v>
      </c>
      <c r="U15" s="2">
        <f>DEVSQ(C4:C11)</f>
        <v>5.4999999999999612E-2</v>
      </c>
      <c r="V15" s="2">
        <f t="shared" ref="V15:V25" si="1">SQRT($S$30/Q15)</f>
        <v>0.10945165283770446</v>
      </c>
      <c r="W15" s="2">
        <f t="shared" ref="W15:W25" si="2">S15-V15*TINV($V$13,$R$30)</f>
        <v>11.757053915204395</v>
      </c>
      <c r="X15" s="2">
        <f t="shared" ref="X15:X25" si="3">S15+V15*TINV($V$13,$R$30)</f>
        <v>12.192946084795601</v>
      </c>
    </row>
    <row r="16" spans="2:24" x14ac:dyDescent="0.35">
      <c r="P16" s="2" t="s">
        <v>13</v>
      </c>
      <c r="Q16" s="2">
        <f>COUNT(D4:D11)</f>
        <v>8</v>
      </c>
      <c r="R16" s="2">
        <f>SUM(D4:D11)</f>
        <v>96.3</v>
      </c>
      <c r="S16" s="2">
        <f>AVERAGE(D4:D11)</f>
        <v>12.0375</v>
      </c>
      <c r="T16" s="2">
        <f>VAR(D4:D11)</f>
        <v>1.9821428571428431E-2</v>
      </c>
      <c r="U16" s="2">
        <f>DEVSQ(D4:D11)</f>
        <v>0.13874999999999901</v>
      </c>
      <c r="V16" s="2">
        <f t="shared" si="1"/>
        <v>0.10945165283770446</v>
      </c>
      <c r="W16" s="2">
        <f t="shared" si="2"/>
        <v>11.819553915204397</v>
      </c>
      <c r="X16" s="2">
        <f t="shared" si="3"/>
        <v>12.255446084795603</v>
      </c>
    </row>
    <row r="17" spans="16:24" x14ac:dyDescent="0.35">
      <c r="P17" s="2" t="s">
        <v>14</v>
      </c>
      <c r="Q17" s="2">
        <f>COUNT(E4:E11)</f>
        <v>8</v>
      </c>
      <c r="R17" s="2">
        <f>SUM(E4:E11)</f>
        <v>97.5</v>
      </c>
      <c r="S17" s="2">
        <f>AVERAGE(E4:E11)</f>
        <v>12.1875</v>
      </c>
      <c r="T17" s="2">
        <f>VAR(E4:E11)</f>
        <v>4.1250000000000023E-2</v>
      </c>
      <c r="U17" s="2">
        <f>DEVSQ(E4:E11)</f>
        <v>0.28875000000000017</v>
      </c>
      <c r="V17" s="2">
        <f t="shared" si="1"/>
        <v>0.10945165283770446</v>
      </c>
      <c r="W17" s="2">
        <f t="shared" si="2"/>
        <v>11.969553915204397</v>
      </c>
      <c r="X17" s="2">
        <f t="shared" si="3"/>
        <v>12.405446084795603</v>
      </c>
    </row>
    <row r="18" spans="16:24" x14ac:dyDescent="0.35">
      <c r="P18" s="2" t="s">
        <v>15</v>
      </c>
      <c r="Q18" s="2">
        <f>COUNT(F4:F11)</f>
        <v>8</v>
      </c>
      <c r="R18" s="2">
        <f>SUM(F4:F11)</f>
        <v>93.300000000000011</v>
      </c>
      <c r="S18" s="2">
        <f>AVERAGE(F4:F11)</f>
        <v>11.662500000000001</v>
      </c>
      <c r="T18" s="2">
        <f>VAR(F4:F11)</f>
        <v>8.3928571428571516E-3</v>
      </c>
      <c r="U18" s="2">
        <f>DEVSQ(F4:F11)</f>
        <v>5.8750000000000066E-2</v>
      </c>
      <c r="V18" s="2">
        <f t="shared" si="1"/>
        <v>0.10945165283770446</v>
      </c>
      <c r="W18" s="2">
        <f t="shared" si="2"/>
        <v>11.444553915204398</v>
      </c>
      <c r="X18" s="2">
        <f t="shared" si="3"/>
        <v>11.880446084795604</v>
      </c>
    </row>
    <row r="19" spans="16:24" x14ac:dyDescent="0.35">
      <c r="P19" s="2" t="s">
        <v>16</v>
      </c>
      <c r="Q19" s="2">
        <f>COUNT(G4:G11)</f>
        <v>8</v>
      </c>
      <c r="R19" s="2">
        <f>SUM(G4:G11)</f>
        <v>93.1</v>
      </c>
      <c r="S19" s="2">
        <f>AVERAGE(G4:G11)</f>
        <v>11.637499999999999</v>
      </c>
      <c r="T19" s="2">
        <f>VAR(G4:G11)</f>
        <v>3.9821428571428598E-2</v>
      </c>
      <c r="U19" s="2">
        <f>DEVSQ(G4:G11)</f>
        <v>0.27875000000000016</v>
      </c>
      <c r="V19" s="2">
        <f t="shared" si="1"/>
        <v>0.10945165283770446</v>
      </c>
      <c r="W19" s="2">
        <f t="shared" si="2"/>
        <v>11.419553915204396</v>
      </c>
      <c r="X19" s="2">
        <f t="shared" si="3"/>
        <v>11.855446084795602</v>
      </c>
    </row>
    <row r="20" spans="16:24" x14ac:dyDescent="0.35">
      <c r="P20" s="2" t="s">
        <v>17</v>
      </c>
      <c r="Q20" s="2">
        <f>COUNT(H4:H11)</f>
        <v>8</v>
      </c>
      <c r="R20" s="2">
        <f>SUM(H4:H11)</f>
        <v>93.300000000000011</v>
      </c>
      <c r="S20" s="2">
        <f>AVERAGE(H4:H11)</f>
        <v>11.662500000000001</v>
      </c>
      <c r="T20" s="2">
        <f>VAR(H4:H11)</f>
        <v>8.3928571428571516E-3</v>
      </c>
      <c r="U20" s="2">
        <f>DEVSQ(H4:H11)</f>
        <v>5.8750000000000066E-2</v>
      </c>
      <c r="V20" s="2">
        <f t="shared" si="1"/>
        <v>0.10945165283770446</v>
      </c>
      <c r="W20" s="2">
        <f t="shared" si="2"/>
        <v>11.444553915204398</v>
      </c>
      <c r="X20" s="2">
        <f t="shared" si="3"/>
        <v>11.880446084795604</v>
      </c>
    </row>
    <row r="21" spans="16:24" x14ac:dyDescent="0.35">
      <c r="P21" s="48" t="s">
        <v>176</v>
      </c>
      <c r="Q21" s="48">
        <f>COUNT(I4:I11)</f>
        <v>8</v>
      </c>
      <c r="R21" s="48">
        <f>SUM(I4:I11)</f>
        <v>94.999999999999986</v>
      </c>
      <c r="S21" s="48">
        <f>AVERAGE(I4:I11)</f>
        <v>11.874999999999998</v>
      </c>
      <c r="T21" s="48">
        <f>VAR(I4:I11)</f>
        <v>0.44499999999999973</v>
      </c>
      <c r="U21" s="48">
        <f>DEVSQ(I4:I11)</f>
        <v>3.114999999999998</v>
      </c>
      <c r="V21" s="48">
        <f t="shared" si="1"/>
        <v>0.10945165283770446</v>
      </c>
      <c r="W21" s="48">
        <f t="shared" si="2"/>
        <v>11.657053915204395</v>
      </c>
      <c r="X21" s="48">
        <f t="shared" si="3"/>
        <v>12.092946084795601</v>
      </c>
    </row>
    <row r="22" spans="16:24" s="32" customFormat="1" x14ac:dyDescent="0.35">
      <c r="P22" s="48" t="s">
        <v>177</v>
      </c>
      <c r="Q22" s="48">
        <f>COUNT(J4:J11)</f>
        <v>8</v>
      </c>
      <c r="R22" s="48">
        <f>SUM(I6:I13)</f>
        <v>82.575000000000003</v>
      </c>
      <c r="S22" s="48">
        <f>AVERAGE(I6:I13)</f>
        <v>11.796428571428573</v>
      </c>
      <c r="T22" s="48">
        <f>VAR(I6:I13)</f>
        <v>0.48592261904761874</v>
      </c>
      <c r="U22" s="48">
        <f>DEVSQ(I6:I13)</f>
        <v>2.9155357142857126</v>
      </c>
      <c r="V22" s="48">
        <f t="shared" si="1"/>
        <v>0.10945165283770446</v>
      </c>
      <c r="W22" s="48">
        <f t="shared" si="2"/>
        <v>11.57848248663297</v>
      </c>
      <c r="X22" s="48">
        <f t="shared" si="3"/>
        <v>12.014374656224176</v>
      </c>
    </row>
    <row r="23" spans="16:24" s="32" customFormat="1" x14ac:dyDescent="0.35">
      <c r="P23" s="48" t="s">
        <v>181</v>
      </c>
      <c r="Q23" s="48">
        <f>COUNT(K4:K11)</f>
        <v>8</v>
      </c>
      <c r="R23" s="48">
        <f>SUM(I8:I15)</f>
        <v>60.975000000000009</v>
      </c>
      <c r="S23" s="48">
        <f>AVERAGE(I8:I15)</f>
        <v>12.195000000000002</v>
      </c>
      <c r="T23" s="48">
        <f>VAR(I8:I15)</f>
        <v>3.3875000000000398E-2</v>
      </c>
      <c r="U23" s="48">
        <f>DEVSQ(I8:I15)</f>
        <v>0.13550000000000159</v>
      </c>
      <c r="V23" s="48">
        <f t="shared" si="1"/>
        <v>0.10945165283770446</v>
      </c>
      <c r="W23" s="48">
        <f t="shared" si="2"/>
        <v>11.977053915204399</v>
      </c>
      <c r="X23" s="48">
        <f t="shared" si="3"/>
        <v>12.412946084795605</v>
      </c>
    </row>
    <row r="24" spans="16:24" s="32" customFormat="1" x14ac:dyDescent="0.35">
      <c r="P24" s="48" t="s">
        <v>182</v>
      </c>
      <c r="Q24" s="48">
        <f>COUNT(L4:L11)</f>
        <v>8</v>
      </c>
      <c r="R24" s="51">
        <f>SUM(L4:L11)</f>
        <v>98.000000000000014</v>
      </c>
      <c r="S24" s="51">
        <f>AVERAGE(L4:L11)</f>
        <v>12.250000000000002</v>
      </c>
      <c r="T24" s="48">
        <f>VAR(L4:L11)</f>
        <v>2.5714285714285835E-2</v>
      </c>
      <c r="U24" s="48">
        <f>DEVSQ(L4:L11)</f>
        <v>0.18000000000000085</v>
      </c>
      <c r="V24" s="48">
        <f t="shared" si="1"/>
        <v>0.10945165283770446</v>
      </c>
      <c r="W24" s="48">
        <f t="shared" si="2"/>
        <v>12.032053915204399</v>
      </c>
      <c r="X24" s="48">
        <f t="shared" si="3"/>
        <v>12.467946084795605</v>
      </c>
    </row>
    <row r="25" spans="16:24" s="32" customFormat="1" x14ac:dyDescent="0.35">
      <c r="P25" s="48" t="s">
        <v>183</v>
      </c>
      <c r="Q25" s="48">
        <f>COUNT(M4:M11)</f>
        <v>8</v>
      </c>
      <c r="R25" s="51">
        <f>SUM(L5:L12)</f>
        <v>98.15</v>
      </c>
      <c r="S25" s="51">
        <f>AVERAGE(L5:L12)</f>
        <v>12.268750000000001</v>
      </c>
      <c r="T25" s="48">
        <f>VAR(L5:L12)</f>
        <v>2.2098214285714381E-2</v>
      </c>
      <c r="U25" s="48">
        <f>DEVSQ(L5:L12)</f>
        <v>0.15468750000000067</v>
      </c>
      <c r="V25" s="48">
        <f t="shared" si="1"/>
        <v>0.10945165283770446</v>
      </c>
      <c r="W25" s="48">
        <f t="shared" si="2"/>
        <v>12.050803915204398</v>
      </c>
      <c r="X25" s="48">
        <f t="shared" si="3"/>
        <v>12.486696084795604</v>
      </c>
    </row>
    <row r="27" spans="16:24" ht="15" thickBot="1" x14ac:dyDescent="0.4">
      <c r="P27" s="2" t="s">
        <v>22</v>
      </c>
    </row>
    <row r="28" spans="16:24" ht="15" thickTop="1" x14ac:dyDescent="0.35">
      <c r="P28" s="3" t="s">
        <v>23</v>
      </c>
      <c r="Q28" s="3" t="s">
        <v>10</v>
      </c>
      <c r="R28" s="3" t="s">
        <v>24</v>
      </c>
      <c r="S28" s="3" t="s">
        <v>25</v>
      </c>
      <c r="T28" s="3" t="s">
        <v>26</v>
      </c>
      <c r="U28" s="3" t="s">
        <v>27</v>
      </c>
      <c r="V28" s="3" t="s">
        <v>28</v>
      </c>
      <c r="W28" s="3" t="s">
        <v>29</v>
      </c>
      <c r="X28" s="3" t="s">
        <v>30</v>
      </c>
    </row>
    <row r="29" spans="16:24" x14ac:dyDescent="0.35">
      <c r="P29" s="2" t="s">
        <v>31</v>
      </c>
      <c r="Q29" s="2">
        <f>Q31-Q30</f>
        <v>0.95325405844155586</v>
      </c>
      <c r="R29" s="2">
        <f>COUNTA(P15:P25)-1</f>
        <v>10</v>
      </c>
      <c r="S29" s="2">
        <f>Q29/R29</f>
        <v>9.5325405844155581E-2</v>
      </c>
      <c r="T29" s="2">
        <f>S29/S30</f>
        <v>0.99465856665629915</v>
      </c>
      <c r="U29" s="2">
        <f>FDIST(T29,R29,R30)</f>
        <v>0.45556379595337004</v>
      </c>
      <c r="V29" s="2">
        <f>FINV(V13,R29,R30)</f>
        <v>1.956024001937567</v>
      </c>
      <c r="W29" s="2">
        <f>SQRT(DEVSQ(S15:S25)/(S30*R29))</f>
        <v>0.79625168539929347</v>
      </c>
      <c r="X29" s="2">
        <f>(Q31-R31*S30)/(Q31+S30)</f>
        <v>-6.0734971155689216E-4</v>
      </c>
    </row>
    <row r="30" spans="16:24" x14ac:dyDescent="0.35">
      <c r="P30" s="2" t="s">
        <v>32</v>
      </c>
      <c r="Q30" s="2">
        <f>SUM(U15:U25)</f>
        <v>7.3794732142857127</v>
      </c>
      <c r="R30" s="2">
        <f>R31-R29</f>
        <v>77</v>
      </c>
      <c r="S30" s="2">
        <f>Q30/R30</f>
        <v>9.5837314471243024E-2</v>
      </c>
    </row>
    <row r="31" spans="16:24" x14ac:dyDescent="0.35">
      <c r="P31" s="2" t="s">
        <v>33</v>
      </c>
      <c r="Q31" s="2">
        <f>DEVSQ(C4:M11)</f>
        <v>8.3327272727272685</v>
      </c>
      <c r="R31" s="29">
        <f>COUNTA(C4:M11)-1</f>
        <v>87</v>
      </c>
      <c r="S31" s="2">
        <f>Q31/R31</f>
        <v>9.577847439916401E-2</v>
      </c>
    </row>
  </sheetData>
  <mergeCells count="4">
    <mergeCell ref="B4:B11"/>
    <mergeCell ref="N4:N7"/>
    <mergeCell ref="N8:N11"/>
    <mergeCell ref="B2:N2"/>
  </mergeCells>
  <pageMargins left="0.7" right="0.7" top="0.75" bottom="0.75" header="0.3" footer="0.3"/>
  <ignoredErrors>
    <ignoredError sqref="C12 D12:G12 H12:I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1"/>
  <sheetViews>
    <sheetView zoomScaleNormal="100" workbookViewId="0">
      <selection activeCell="H12" sqref="H12"/>
    </sheetView>
  </sheetViews>
  <sheetFormatPr defaultColWidth="9.1796875" defaultRowHeight="14.5" x14ac:dyDescent="0.35"/>
  <cols>
    <col min="1" max="1" width="9.1796875" style="32"/>
    <col min="2" max="2" width="12" style="2" customWidth="1"/>
    <col min="3" max="9" width="9.81640625" style="2" customWidth="1"/>
    <col min="10" max="13" width="9.81640625" style="32" customWidth="1"/>
    <col min="14" max="15" width="9.1796875" style="2"/>
    <col min="16" max="16" width="18.1796875" style="2" customWidth="1"/>
    <col min="17" max="20" width="9.1796875" style="2"/>
    <col min="21" max="21" width="12.36328125" style="2" bestFit="1" customWidth="1"/>
    <col min="22" max="16384" width="9.1796875" style="2"/>
  </cols>
  <sheetData>
    <row r="1" spans="2:24" s="32" customFormat="1" x14ac:dyDescent="0.35"/>
    <row r="2" spans="2:24" x14ac:dyDescent="0.35">
      <c r="B2" s="77" t="s">
        <v>38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2:24" ht="18.75" customHeight="1" x14ac:dyDescent="0.35">
      <c r="B3" s="10" t="s">
        <v>0</v>
      </c>
      <c r="C3" s="30">
        <v>1</v>
      </c>
      <c r="D3" s="30">
        <v>2</v>
      </c>
      <c r="E3" s="30">
        <v>3</v>
      </c>
      <c r="F3" s="31">
        <v>4</v>
      </c>
      <c r="G3" s="31">
        <v>5</v>
      </c>
      <c r="H3" s="31">
        <v>6</v>
      </c>
      <c r="I3" s="31">
        <v>7</v>
      </c>
      <c r="J3" s="31">
        <v>8</v>
      </c>
      <c r="K3" s="31">
        <v>9</v>
      </c>
      <c r="L3" s="31">
        <v>10</v>
      </c>
      <c r="M3" s="31">
        <v>11</v>
      </c>
      <c r="N3" s="27"/>
    </row>
    <row r="4" spans="2:24" ht="15" customHeight="1" x14ac:dyDescent="0.35">
      <c r="B4" s="75" t="s">
        <v>180</v>
      </c>
      <c r="C4" s="46">
        <v>14.1</v>
      </c>
      <c r="D4" s="46">
        <v>12.7</v>
      </c>
      <c r="E4" s="46">
        <v>12.7</v>
      </c>
      <c r="F4" s="46">
        <v>12.7</v>
      </c>
      <c r="G4" s="46">
        <v>12.6</v>
      </c>
      <c r="H4" s="46">
        <v>12.7</v>
      </c>
      <c r="I4" s="46">
        <v>12.3</v>
      </c>
      <c r="J4" s="46">
        <v>12.8</v>
      </c>
      <c r="K4" s="46">
        <v>12.9</v>
      </c>
      <c r="L4" s="46">
        <v>13</v>
      </c>
      <c r="M4" s="46">
        <v>12</v>
      </c>
      <c r="N4" s="75" t="s">
        <v>3</v>
      </c>
    </row>
    <row r="5" spans="2:24" x14ac:dyDescent="0.35">
      <c r="B5" s="75"/>
      <c r="C5" s="46">
        <v>14</v>
      </c>
      <c r="D5" s="46">
        <v>12.7</v>
      </c>
      <c r="E5" s="46">
        <v>12.7</v>
      </c>
      <c r="F5" s="46">
        <v>12.5</v>
      </c>
      <c r="G5" s="46">
        <v>12.4</v>
      </c>
      <c r="H5" s="46">
        <v>12.5</v>
      </c>
      <c r="I5" s="46">
        <v>12.2</v>
      </c>
      <c r="J5" s="46">
        <v>12.8</v>
      </c>
      <c r="K5" s="46">
        <v>12.9</v>
      </c>
      <c r="L5" s="46">
        <v>13</v>
      </c>
      <c r="M5" s="46">
        <v>12</v>
      </c>
      <c r="N5" s="75"/>
    </row>
    <row r="6" spans="2:24" x14ac:dyDescent="0.35">
      <c r="B6" s="75"/>
      <c r="C6" s="46">
        <v>14.4</v>
      </c>
      <c r="D6" s="46">
        <v>12.7</v>
      </c>
      <c r="E6" s="46">
        <v>12.8</v>
      </c>
      <c r="F6" s="46">
        <v>12.7</v>
      </c>
      <c r="G6" s="46">
        <v>12.3</v>
      </c>
      <c r="H6" s="46">
        <v>12.7</v>
      </c>
      <c r="I6" s="46">
        <v>12.2</v>
      </c>
      <c r="J6" s="46">
        <v>12.7</v>
      </c>
      <c r="K6" s="46">
        <v>12.9</v>
      </c>
      <c r="L6" s="46">
        <v>13.1</v>
      </c>
      <c r="M6" s="46">
        <v>12.8</v>
      </c>
      <c r="N6" s="75"/>
    </row>
    <row r="7" spans="2:24" x14ac:dyDescent="0.35">
      <c r="B7" s="75"/>
      <c r="C7" s="46">
        <v>14.4</v>
      </c>
      <c r="D7" s="46">
        <v>12.7</v>
      </c>
      <c r="E7" s="46">
        <v>13.1</v>
      </c>
      <c r="F7" s="46">
        <v>12.7</v>
      </c>
      <c r="G7" s="46">
        <v>12.6</v>
      </c>
      <c r="H7" s="46">
        <v>12.7</v>
      </c>
      <c r="I7" s="46">
        <v>12.3</v>
      </c>
      <c r="J7" s="46">
        <v>12.7</v>
      </c>
      <c r="K7" s="46">
        <v>12.9</v>
      </c>
      <c r="L7" s="46">
        <v>13.1</v>
      </c>
      <c r="M7" s="46">
        <v>12.8</v>
      </c>
      <c r="N7" s="75"/>
    </row>
    <row r="8" spans="2:24" x14ac:dyDescent="0.35">
      <c r="B8" s="75"/>
      <c r="C8" s="46">
        <v>13.6</v>
      </c>
      <c r="D8" s="46">
        <v>12.6</v>
      </c>
      <c r="E8" s="46">
        <v>13</v>
      </c>
      <c r="F8" s="46">
        <v>12.8</v>
      </c>
      <c r="G8" s="46">
        <v>12.6</v>
      </c>
      <c r="H8" s="46">
        <v>12.8</v>
      </c>
      <c r="I8" s="46">
        <v>13</v>
      </c>
      <c r="J8" s="46">
        <v>12.6</v>
      </c>
      <c r="K8" s="46">
        <v>13.2</v>
      </c>
      <c r="L8" s="46">
        <v>13.3</v>
      </c>
      <c r="M8" s="46">
        <v>12.6</v>
      </c>
      <c r="N8" s="75" t="s">
        <v>4</v>
      </c>
    </row>
    <row r="9" spans="2:24" x14ac:dyDescent="0.35">
      <c r="B9" s="75"/>
      <c r="C9" s="46">
        <v>13.6</v>
      </c>
      <c r="D9" s="46">
        <v>12.7</v>
      </c>
      <c r="E9" s="46">
        <v>13</v>
      </c>
      <c r="F9" s="46">
        <v>12.7</v>
      </c>
      <c r="G9" s="46">
        <v>12.5</v>
      </c>
      <c r="H9" s="46">
        <v>12.7</v>
      </c>
      <c r="I9" s="46">
        <v>13</v>
      </c>
      <c r="J9" s="46">
        <v>12.6</v>
      </c>
      <c r="K9" s="46">
        <v>13.3</v>
      </c>
      <c r="L9" s="46">
        <v>13.5</v>
      </c>
      <c r="M9" s="46">
        <v>12.4</v>
      </c>
      <c r="N9" s="75"/>
    </row>
    <row r="10" spans="2:24" x14ac:dyDescent="0.35">
      <c r="B10" s="75"/>
      <c r="C10" s="46">
        <v>13.8</v>
      </c>
      <c r="D10" s="46">
        <v>12.7</v>
      </c>
      <c r="E10" s="46">
        <v>12.7</v>
      </c>
      <c r="F10" s="46">
        <v>12.9</v>
      </c>
      <c r="G10" s="46">
        <v>12.4</v>
      </c>
      <c r="H10" s="46">
        <v>12.9</v>
      </c>
      <c r="I10" s="46">
        <v>13</v>
      </c>
      <c r="J10" s="46">
        <v>12.6</v>
      </c>
      <c r="K10" s="46">
        <v>13.2</v>
      </c>
      <c r="L10" s="46">
        <v>13.4</v>
      </c>
      <c r="M10" s="46">
        <v>12.5</v>
      </c>
      <c r="N10" s="75"/>
    </row>
    <row r="11" spans="2:24" x14ac:dyDescent="0.35">
      <c r="B11" s="75"/>
      <c r="C11" s="46">
        <v>13.7</v>
      </c>
      <c r="D11" s="46">
        <v>12.7</v>
      </c>
      <c r="E11" s="46">
        <v>12.8</v>
      </c>
      <c r="F11" s="46">
        <v>12.9</v>
      </c>
      <c r="G11" s="46">
        <v>12.2</v>
      </c>
      <c r="H11" s="46">
        <v>12.9</v>
      </c>
      <c r="I11" s="46">
        <v>13</v>
      </c>
      <c r="J11" s="46">
        <v>12.6</v>
      </c>
      <c r="K11" s="46">
        <v>13.3</v>
      </c>
      <c r="L11" s="46">
        <v>13.5</v>
      </c>
      <c r="M11" s="46">
        <v>12.9</v>
      </c>
      <c r="N11" s="75"/>
    </row>
    <row r="12" spans="2:24" x14ac:dyDescent="0.35">
      <c r="B12" s="10" t="s">
        <v>70</v>
      </c>
      <c r="C12" s="46">
        <f>AVERAGE(C4:C11)</f>
        <v>13.95</v>
      </c>
      <c r="D12" s="46">
        <f t="shared" ref="D12:M12" si="0">AVERAGE(D4:D11)</f>
        <v>12.6875</v>
      </c>
      <c r="E12" s="46">
        <f t="shared" si="0"/>
        <v>12.850000000000001</v>
      </c>
      <c r="F12" s="46">
        <f t="shared" si="0"/>
        <v>12.737500000000001</v>
      </c>
      <c r="G12" s="46">
        <f t="shared" si="0"/>
        <v>12.450000000000001</v>
      </c>
      <c r="H12" s="46">
        <f t="shared" si="0"/>
        <v>12.737500000000001</v>
      </c>
      <c r="I12" s="46">
        <f t="shared" si="0"/>
        <v>12.625</v>
      </c>
      <c r="J12" s="46">
        <f t="shared" si="0"/>
        <v>12.674999999999999</v>
      </c>
      <c r="K12" s="46">
        <f t="shared" si="0"/>
        <v>13.074999999999999</v>
      </c>
      <c r="L12" s="46">
        <f t="shared" si="0"/>
        <v>13.237500000000001</v>
      </c>
      <c r="M12" s="46">
        <f t="shared" si="0"/>
        <v>12.5</v>
      </c>
      <c r="N12" s="27"/>
    </row>
    <row r="13" spans="2:24" ht="15" thickBot="1" x14ac:dyDescent="0.4">
      <c r="P13" s="2" t="s">
        <v>5</v>
      </c>
      <c r="U13" s="2" t="s">
        <v>21</v>
      </c>
      <c r="V13" s="2">
        <v>0.05</v>
      </c>
    </row>
    <row r="14" spans="2:24" ht="15" thickTop="1" x14ac:dyDescent="0.35">
      <c r="P14" s="3" t="s">
        <v>11</v>
      </c>
      <c r="Q14" s="3" t="s">
        <v>6</v>
      </c>
      <c r="R14" s="3" t="s">
        <v>7</v>
      </c>
      <c r="S14" s="3" t="s">
        <v>8</v>
      </c>
      <c r="T14" s="3" t="s">
        <v>9</v>
      </c>
      <c r="U14" s="3" t="s">
        <v>10</v>
      </c>
      <c r="V14" s="3" t="s">
        <v>18</v>
      </c>
      <c r="W14" s="3" t="s">
        <v>19</v>
      </c>
      <c r="X14" s="3" t="s">
        <v>20</v>
      </c>
    </row>
    <row r="15" spans="2:24" x14ac:dyDescent="0.35">
      <c r="P15" s="2" t="s">
        <v>12</v>
      </c>
      <c r="Q15" s="2">
        <f>COUNT(C4:C11)</f>
        <v>8</v>
      </c>
      <c r="R15" s="29">
        <f>SUM(C4:C11)</f>
        <v>111.6</v>
      </c>
      <c r="S15" s="29">
        <f>AVERAGE(C4:C11)</f>
        <v>13.95</v>
      </c>
      <c r="T15" s="2">
        <f>VAR(C4:C11)</f>
        <v>0.10857142857142874</v>
      </c>
      <c r="U15" s="2">
        <f>DEVSQ(C4:C11)</f>
        <v>0.76000000000000112</v>
      </c>
      <c r="V15" s="2">
        <f t="shared" ref="V15:V25" si="1">SQRT($S$30/Q15)</f>
        <v>8.0279544062016206E-2</v>
      </c>
      <c r="W15" s="2">
        <f t="shared" ref="W15:W25" si="2">S15-V15*TINV($V$13,$R$30)</f>
        <v>13.790143005026733</v>
      </c>
      <c r="X15" s="2">
        <f t="shared" ref="X15:X25" si="3">S15+V15*TINV($V$13,$R$30)</f>
        <v>14.109856994973265</v>
      </c>
    </row>
    <row r="16" spans="2:24" x14ac:dyDescent="0.35">
      <c r="P16" s="2" t="s">
        <v>13</v>
      </c>
      <c r="Q16" s="2">
        <f>COUNT(D4:D11)</f>
        <v>8</v>
      </c>
      <c r="R16" s="29">
        <f>SUM(D4:D11)</f>
        <v>101.5</v>
      </c>
      <c r="S16" s="29">
        <f>AVERAGE(D4:D11)</f>
        <v>12.6875</v>
      </c>
      <c r="T16" s="2">
        <f>VAR(D4:D11)</f>
        <v>1.2499999999999914E-3</v>
      </c>
      <c r="U16" s="2">
        <f>DEVSQ(D4:D11)</f>
        <v>8.7499999999999401E-3</v>
      </c>
      <c r="V16" s="2">
        <f t="shared" si="1"/>
        <v>8.0279544062016206E-2</v>
      </c>
      <c r="W16" s="2">
        <f t="shared" si="2"/>
        <v>12.527643005026734</v>
      </c>
      <c r="X16" s="2">
        <f t="shared" si="3"/>
        <v>12.847356994973266</v>
      </c>
    </row>
    <row r="17" spans="16:24" x14ac:dyDescent="0.35">
      <c r="P17" s="2" t="s">
        <v>14</v>
      </c>
      <c r="Q17" s="2">
        <f>COUNT(E4:E11)</f>
        <v>8</v>
      </c>
      <c r="R17" s="29">
        <f>SUM(E4:E11)</f>
        <v>102.80000000000001</v>
      </c>
      <c r="S17" s="29">
        <f>AVERAGE(E4:E11)</f>
        <v>12.850000000000001</v>
      </c>
      <c r="T17" s="2">
        <f>VAR(E4:E11)</f>
        <v>2.5714285714285755E-2</v>
      </c>
      <c r="U17" s="2">
        <f>DEVSQ(E4:E11)</f>
        <v>0.1800000000000003</v>
      </c>
      <c r="V17" s="2">
        <f t="shared" si="1"/>
        <v>8.0279544062016206E-2</v>
      </c>
      <c r="W17" s="2">
        <f t="shared" si="2"/>
        <v>12.690143005026735</v>
      </c>
      <c r="X17" s="2">
        <f t="shared" si="3"/>
        <v>13.009856994973267</v>
      </c>
    </row>
    <row r="18" spans="16:24" x14ac:dyDescent="0.35">
      <c r="P18" s="2" t="s">
        <v>15</v>
      </c>
      <c r="Q18" s="2">
        <f>COUNT(F4:F11)</f>
        <v>8</v>
      </c>
      <c r="R18" s="29">
        <f>SUM(F4:F11)</f>
        <v>101.9</v>
      </c>
      <c r="S18" s="29">
        <f>AVERAGE(F4:F11)</f>
        <v>12.737500000000001</v>
      </c>
      <c r="T18" s="2">
        <f>VAR(F4:F11)</f>
        <v>1.6964285714285789E-2</v>
      </c>
      <c r="U18" s="2">
        <f>DEVSQ(F4:F11)</f>
        <v>0.11875000000000054</v>
      </c>
      <c r="V18" s="2">
        <f t="shared" si="1"/>
        <v>8.0279544062016206E-2</v>
      </c>
      <c r="W18" s="2">
        <f t="shared" si="2"/>
        <v>12.577643005026735</v>
      </c>
      <c r="X18" s="2">
        <f t="shared" si="3"/>
        <v>12.897356994973267</v>
      </c>
    </row>
    <row r="19" spans="16:24" x14ac:dyDescent="0.35">
      <c r="P19" s="2" t="s">
        <v>16</v>
      </c>
      <c r="Q19" s="2">
        <f>COUNT(G4:G11)</f>
        <v>8</v>
      </c>
      <c r="R19" s="29">
        <f>SUM(G4:G11)</f>
        <v>99.600000000000009</v>
      </c>
      <c r="S19" s="29">
        <f>AVERAGE(G4:G11)</f>
        <v>12.450000000000001</v>
      </c>
      <c r="T19" s="2">
        <f>VAR(G4:G11)</f>
        <v>2.2857142857142822E-2</v>
      </c>
      <c r="U19" s="2">
        <f>DEVSQ(G4:G11)</f>
        <v>0.15999999999999975</v>
      </c>
      <c r="V19" s="2">
        <f t="shared" si="1"/>
        <v>8.0279544062016206E-2</v>
      </c>
      <c r="W19" s="2">
        <f t="shared" si="2"/>
        <v>12.290143005026735</v>
      </c>
      <c r="X19" s="2">
        <f t="shared" si="3"/>
        <v>12.609856994973267</v>
      </c>
    </row>
    <row r="20" spans="16:24" x14ac:dyDescent="0.35">
      <c r="P20" s="2" t="s">
        <v>17</v>
      </c>
      <c r="Q20" s="2">
        <f>COUNT(H4:H11)</f>
        <v>8</v>
      </c>
      <c r="R20" s="29">
        <f>SUM(H4:H11)</f>
        <v>101.9</v>
      </c>
      <c r="S20" s="29">
        <f>AVERAGE(H4:H11)</f>
        <v>12.737500000000001</v>
      </c>
      <c r="T20" s="2">
        <f>VAR(H4:H11)</f>
        <v>1.6964285714285789E-2</v>
      </c>
      <c r="U20" s="2">
        <f>DEVSQ(H4:H11)</f>
        <v>0.11875000000000054</v>
      </c>
      <c r="V20" s="2">
        <f t="shared" si="1"/>
        <v>8.0279544062016206E-2</v>
      </c>
      <c r="W20" s="2">
        <f t="shared" si="2"/>
        <v>12.577643005026735</v>
      </c>
      <c r="X20" s="2">
        <f t="shared" si="3"/>
        <v>12.897356994973267</v>
      </c>
    </row>
    <row r="21" spans="16:24" x14ac:dyDescent="0.35">
      <c r="P21" s="48" t="s">
        <v>176</v>
      </c>
      <c r="Q21" s="48">
        <f>COUNT(I4:I11)</f>
        <v>8</v>
      </c>
      <c r="R21" s="53">
        <f>SUM(I4:I11)</f>
        <v>101</v>
      </c>
      <c r="S21" s="53">
        <f>AVERAGE(I4:I11)</f>
        <v>12.625</v>
      </c>
      <c r="T21" s="48">
        <f>VAR(I4:I11)</f>
        <v>0.16214285714285717</v>
      </c>
      <c r="U21" s="48">
        <f>DEVSQ(I4:I11)</f>
        <v>1.1350000000000002</v>
      </c>
      <c r="V21" s="48">
        <f t="shared" si="1"/>
        <v>8.0279544062016206E-2</v>
      </c>
      <c r="W21" s="48">
        <f t="shared" si="2"/>
        <v>12.465143005026734</v>
      </c>
      <c r="X21" s="48">
        <f t="shared" si="3"/>
        <v>12.784856994973266</v>
      </c>
    </row>
    <row r="22" spans="16:24" s="32" customFormat="1" x14ac:dyDescent="0.35">
      <c r="P22" s="48" t="s">
        <v>177</v>
      </c>
      <c r="Q22" s="48">
        <f>COUNT(J4:J11)</f>
        <v>8</v>
      </c>
      <c r="R22" s="53">
        <f>SUM(J4:J11)</f>
        <v>101.39999999999999</v>
      </c>
      <c r="S22" s="53">
        <f>AVERAGE(J4:J11)</f>
        <v>12.674999999999999</v>
      </c>
      <c r="T22" s="48">
        <f>VAR(J4:J11)</f>
        <v>7.8571428571429271E-3</v>
      </c>
      <c r="U22" s="48">
        <f>DEVSQ(J4:J11)</f>
        <v>5.5000000000000493E-2</v>
      </c>
      <c r="V22" s="48">
        <f t="shared" si="1"/>
        <v>8.0279544062016206E-2</v>
      </c>
      <c r="W22" s="48">
        <f t="shared" si="2"/>
        <v>12.515143005026733</v>
      </c>
      <c r="X22" s="48">
        <f t="shared" si="3"/>
        <v>12.834856994973265</v>
      </c>
    </row>
    <row r="23" spans="16:24" s="32" customFormat="1" x14ac:dyDescent="0.35">
      <c r="P23" s="48" t="s">
        <v>181</v>
      </c>
      <c r="Q23" s="48">
        <f>COUNT(K4:K11)</f>
        <v>8</v>
      </c>
      <c r="R23" s="53">
        <f>SUM(K4:K11)</f>
        <v>104.6</v>
      </c>
      <c r="S23" s="53">
        <f>AVERAGE(K4:K11)</f>
        <v>13.074999999999999</v>
      </c>
      <c r="T23" s="48">
        <f>VAR(K4:K11)</f>
        <v>3.64285714285714E-2</v>
      </c>
      <c r="U23" s="48">
        <f>DEVSQ(K4:K11)</f>
        <v>0.25499999999999978</v>
      </c>
      <c r="V23" s="48">
        <f t="shared" si="1"/>
        <v>8.0279544062016206E-2</v>
      </c>
      <c r="W23" s="48">
        <f t="shared" si="2"/>
        <v>12.915143005026733</v>
      </c>
      <c r="X23" s="48">
        <f t="shared" si="3"/>
        <v>13.234856994973265</v>
      </c>
    </row>
    <row r="24" spans="16:24" s="32" customFormat="1" x14ac:dyDescent="0.35">
      <c r="P24" s="48" t="s">
        <v>182</v>
      </c>
      <c r="Q24" s="48">
        <f>COUNT(L4:L11)</f>
        <v>8</v>
      </c>
      <c r="R24" s="51">
        <f>SUM(L4:L11)</f>
        <v>105.9</v>
      </c>
      <c r="S24" s="53">
        <f>AVERAGE(L4:L11)</f>
        <v>13.237500000000001</v>
      </c>
      <c r="T24" s="48">
        <f>VAR(L4:L11)</f>
        <v>4.5535714285714346E-2</v>
      </c>
      <c r="U24" s="48">
        <f>DEVSQ(L4:L11)</f>
        <v>0.31875000000000042</v>
      </c>
      <c r="V24" s="48">
        <f t="shared" si="1"/>
        <v>8.0279544062016206E-2</v>
      </c>
      <c r="W24" s="48">
        <f t="shared" si="2"/>
        <v>13.077643005026735</v>
      </c>
      <c r="X24" s="48">
        <f t="shared" si="3"/>
        <v>13.397356994973267</v>
      </c>
    </row>
    <row r="25" spans="16:24" s="32" customFormat="1" x14ac:dyDescent="0.35">
      <c r="P25" s="4" t="s">
        <v>183</v>
      </c>
      <c r="Q25" s="4">
        <f>COUNT(M4:M11)</f>
        <v>8</v>
      </c>
      <c r="R25" s="50">
        <f>SUM(M4:M11)</f>
        <v>100</v>
      </c>
      <c r="S25" s="49">
        <f>AVERAGE(M4:M11)</f>
        <v>12.5</v>
      </c>
      <c r="T25" s="4">
        <f>VAR(M4:M11)</f>
        <v>0.12285714285714298</v>
      </c>
      <c r="U25" s="4">
        <f>DEVSQ(M4:M11)</f>
        <v>0.86000000000000087</v>
      </c>
      <c r="V25" s="4">
        <f t="shared" si="1"/>
        <v>8.0279544062016206E-2</v>
      </c>
      <c r="W25" s="4">
        <f t="shared" si="2"/>
        <v>12.340143005026734</v>
      </c>
      <c r="X25" s="4">
        <f t="shared" si="3"/>
        <v>12.659856994973266</v>
      </c>
    </row>
    <row r="27" spans="16:24" ht="15" thickBot="1" x14ac:dyDescent="0.4">
      <c r="P27" s="2" t="s">
        <v>22</v>
      </c>
    </row>
    <row r="28" spans="16:24" ht="15" thickTop="1" x14ac:dyDescent="0.35">
      <c r="P28" s="3" t="s">
        <v>23</v>
      </c>
      <c r="Q28" s="3" t="s">
        <v>10</v>
      </c>
      <c r="R28" s="3" t="s">
        <v>24</v>
      </c>
      <c r="S28" s="3" t="s">
        <v>25</v>
      </c>
      <c r="T28" s="3" t="s">
        <v>26</v>
      </c>
      <c r="U28" s="3" t="s">
        <v>27</v>
      </c>
      <c r="V28" s="3" t="s">
        <v>28</v>
      </c>
      <c r="W28" s="3" t="s">
        <v>29</v>
      </c>
      <c r="X28" s="3" t="s">
        <v>30</v>
      </c>
    </row>
    <row r="29" spans="16:24" x14ac:dyDescent="0.35">
      <c r="P29" s="2" t="s">
        <v>31</v>
      </c>
      <c r="Q29" s="2">
        <f>Q31-Q30</f>
        <v>14.58772727272728</v>
      </c>
      <c r="R29" s="2">
        <f>COUNTA(P15:P25)-1</f>
        <v>10</v>
      </c>
      <c r="S29" s="2">
        <f>Q29/R29</f>
        <v>1.458772727272728</v>
      </c>
      <c r="T29" s="2">
        <f>S29/S30</f>
        <v>28.293576826196457</v>
      </c>
      <c r="U29" s="2">
        <f>FDIST(T29,R29,R30)</f>
        <v>7.5753750268240347E-22</v>
      </c>
      <c r="V29" s="2">
        <f>FINV(V13,R29,R30)</f>
        <v>1.956024001937567</v>
      </c>
      <c r="W29" s="2">
        <f>SQRT(DEVSQ(S15:S25)/(S30*R29))</f>
        <v>1.8806108324888886</v>
      </c>
      <c r="X29" s="2">
        <f>(Q31-R31*S30)/(Q31+S30)</f>
        <v>0.75618930641384863</v>
      </c>
    </row>
    <row r="30" spans="16:24" x14ac:dyDescent="0.35">
      <c r="P30" s="2" t="s">
        <v>32</v>
      </c>
      <c r="Q30" s="2">
        <f>SUM(U15:U25)</f>
        <v>3.9700000000000042</v>
      </c>
      <c r="R30" s="2">
        <f>R31-R29</f>
        <v>77</v>
      </c>
      <c r="S30" s="2">
        <f>Q30/R30</f>
        <v>5.1558441558441616E-2</v>
      </c>
    </row>
    <row r="31" spans="16:24" x14ac:dyDescent="0.35">
      <c r="P31" s="2" t="s">
        <v>33</v>
      </c>
      <c r="Q31" s="2">
        <f>DEVSQ(C4:M11)</f>
        <v>18.557727272727284</v>
      </c>
      <c r="R31" s="29">
        <f>COUNTA(C4:M11)-1</f>
        <v>87</v>
      </c>
      <c r="S31" s="2">
        <f>Q31/R31</f>
        <v>0.21330721003134809</v>
      </c>
    </row>
  </sheetData>
  <mergeCells count="4">
    <mergeCell ref="B4:B11"/>
    <mergeCell ref="N4:N7"/>
    <mergeCell ref="N8:N11"/>
    <mergeCell ref="B2:N2"/>
  </mergeCells>
  <pageMargins left="0.7" right="0.7" top="0.75" bottom="0.75" header="0.3" footer="0.3"/>
  <ignoredErrors>
    <ignoredError sqref="C12 H12:I12 D12:G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9677-93DB-40DC-8D7F-B336F8C09257}">
  <dimension ref="B2:X31"/>
  <sheetViews>
    <sheetView workbookViewId="0">
      <selection activeCell="H11" sqref="H11"/>
    </sheetView>
  </sheetViews>
  <sheetFormatPr defaultColWidth="9.1796875" defaultRowHeight="14.5" x14ac:dyDescent="0.35"/>
  <cols>
    <col min="1" max="1" width="9.1796875" style="32"/>
    <col min="2" max="2" width="11.453125" style="32" customWidth="1"/>
    <col min="3" max="13" width="9.81640625" style="32" customWidth="1"/>
    <col min="14" max="15" width="9.1796875" style="32"/>
    <col min="16" max="16" width="18" style="32" customWidth="1"/>
    <col min="17" max="20" width="9.1796875" style="32"/>
    <col min="21" max="21" width="11.81640625" style="32" bestFit="1" customWidth="1"/>
    <col min="22" max="16384" width="9.1796875" style="32"/>
  </cols>
  <sheetData>
    <row r="2" spans="2:24" x14ac:dyDescent="0.35">
      <c r="B2" s="77" t="s">
        <v>178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2:24" ht="18" customHeight="1" x14ac:dyDescent="0.35">
      <c r="B3" s="31" t="s">
        <v>0</v>
      </c>
      <c r="C3" s="30">
        <v>1</v>
      </c>
      <c r="D3" s="30">
        <v>2</v>
      </c>
      <c r="E3" s="30">
        <v>3</v>
      </c>
      <c r="F3" s="31">
        <v>4</v>
      </c>
      <c r="G3" s="31">
        <v>5</v>
      </c>
      <c r="H3" s="31">
        <v>6</v>
      </c>
      <c r="I3" s="31">
        <v>7</v>
      </c>
      <c r="J3" s="31">
        <v>8</v>
      </c>
      <c r="K3" s="31">
        <v>9</v>
      </c>
      <c r="L3" s="31">
        <v>10</v>
      </c>
      <c r="M3" s="31">
        <v>11</v>
      </c>
      <c r="N3" s="27"/>
    </row>
    <row r="4" spans="2:24" ht="15" customHeight="1" x14ac:dyDescent="0.35">
      <c r="B4" s="75" t="s">
        <v>180</v>
      </c>
      <c r="C4" s="46">
        <v>24.6</v>
      </c>
      <c r="D4" s="46">
        <v>24.3</v>
      </c>
      <c r="E4" s="46">
        <v>25.3</v>
      </c>
      <c r="F4" s="46">
        <v>24.1</v>
      </c>
      <c r="G4" s="46">
        <v>24.6</v>
      </c>
      <c r="H4" s="46">
        <v>24.1</v>
      </c>
      <c r="I4" s="46">
        <v>24.6</v>
      </c>
      <c r="J4" s="46">
        <v>24.4</v>
      </c>
      <c r="K4" s="46">
        <v>24.5</v>
      </c>
      <c r="L4" s="46">
        <v>24.3</v>
      </c>
      <c r="M4" s="46">
        <v>25.2</v>
      </c>
      <c r="N4" s="75" t="s">
        <v>3</v>
      </c>
    </row>
    <row r="5" spans="2:24" x14ac:dyDescent="0.35">
      <c r="B5" s="75"/>
      <c r="C5" s="46">
        <v>24.5</v>
      </c>
      <c r="D5" s="46">
        <v>24.3</v>
      </c>
      <c r="E5" s="46">
        <v>24.6</v>
      </c>
      <c r="F5" s="46">
        <v>23.7</v>
      </c>
      <c r="G5" s="46">
        <v>24.3</v>
      </c>
      <c r="H5" s="46">
        <v>23.7</v>
      </c>
      <c r="I5" s="46">
        <v>24.6</v>
      </c>
      <c r="J5" s="46">
        <v>24.4</v>
      </c>
      <c r="K5" s="46">
        <v>24.5</v>
      </c>
      <c r="L5" s="46">
        <v>24.3</v>
      </c>
      <c r="M5" s="46">
        <v>25.4</v>
      </c>
      <c r="N5" s="75"/>
    </row>
    <row r="6" spans="2:24" x14ac:dyDescent="0.35">
      <c r="B6" s="75"/>
      <c r="C6" s="46">
        <v>24.6</v>
      </c>
      <c r="D6" s="46">
        <v>24.3</v>
      </c>
      <c r="E6" s="46">
        <v>25.2</v>
      </c>
      <c r="F6" s="46">
        <v>24</v>
      </c>
      <c r="G6" s="46">
        <v>24.4</v>
      </c>
      <c r="H6" s="46">
        <v>24</v>
      </c>
      <c r="I6" s="46">
        <v>24.4</v>
      </c>
      <c r="J6" s="46">
        <v>24.4</v>
      </c>
      <c r="K6" s="46">
        <v>24.4</v>
      </c>
      <c r="L6" s="46">
        <v>24.4</v>
      </c>
      <c r="M6" s="46">
        <v>25.2</v>
      </c>
      <c r="N6" s="75"/>
    </row>
    <row r="7" spans="2:24" x14ac:dyDescent="0.35">
      <c r="B7" s="75"/>
      <c r="C7" s="46">
        <v>24.6</v>
      </c>
      <c r="D7" s="46">
        <v>24.2</v>
      </c>
      <c r="E7" s="46">
        <v>25.2</v>
      </c>
      <c r="F7" s="46">
        <v>23.9</v>
      </c>
      <c r="G7" s="46">
        <v>24</v>
      </c>
      <c r="H7" s="46">
        <v>23.9</v>
      </c>
      <c r="I7" s="46">
        <v>24.4</v>
      </c>
      <c r="J7" s="46">
        <v>24.4</v>
      </c>
      <c r="K7" s="46">
        <v>24.5</v>
      </c>
      <c r="L7" s="46">
        <v>24.3</v>
      </c>
      <c r="M7" s="46">
        <v>25.2</v>
      </c>
      <c r="N7" s="75"/>
    </row>
    <row r="8" spans="2:24" x14ac:dyDescent="0.35">
      <c r="B8" s="75"/>
      <c r="C8" s="46">
        <v>23.8</v>
      </c>
      <c r="D8" s="46">
        <v>24.3</v>
      </c>
      <c r="E8" s="46">
        <v>24.4</v>
      </c>
      <c r="F8" s="46">
        <v>24.3</v>
      </c>
      <c r="G8" s="46">
        <v>24.1</v>
      </c>
      <c r="H8" s="46">
        <v>24.3</v>
      </c>
      <c r="I8" s="46">
        <v>25</v>
      </c>
      <c r="J8" s="46">
        <v>23.9</v>
      </c>
      <c r="K8" s="46">
        <v>24.9</v>
      </c>
      <c r="L8" s="46">
        <v>25.1</v>
      </c>
      <c r="M8" s="46">
        <v>25.2</v>
      </c>
      <c r="N8" s="75" t="s">
        <v>4</v>
      </c>
    </row>
    <row r="9" spans="2:24" x14ac:dyDescent="0.35">
      <c r="B9" s="75"/>
      <c r="C9" s="46">
        <v>23.8</v>
      </c>
      <c r="D9" s="46">
        <v>24.2</v>
      </c>
      <c r="E9" s="46">
        <v>25</v>
      </c>
      <c r="F9" s="46">
        <v>24.3</v>
      </c>
      <c r="G9" s="46">
        <v>24.6</v>
      </c>
      <c r="H9" s="46">
        <v>24.3</v>
      </c>
      <c r="I9" s="46">
        <v>24.9</v>
      </c>
      <c r="J9" s="46">
        <v>24</v>
      </c>
      <c r="K9" s="46">
        <v>25</v>
      </c>
      <c r="L9" s="46">
        <v>25.1</v>
      </c>
      <c r="M9" s="46">
        <v>25.2</v>
      </c>
      <c r="N9" s="75"/>
    </row>
    <row r="10" spans="2:24" x14ac:dyDescent="0.35">
      <c r="B10" s="75"/>
      <c r="C10" s="46">
        <v>24.4</v>
      </c>
      <c r="D10" s="46">
        <v>24.4</v>
      </c>
      <c r="E10" s="46">
        <v>25.2</v>
      </c>
      <c r="F10" s="46">
        <v>24.3</v>
      </c>
      <c r="G10" s="46">
        <v>24.3</v>
      </c>
      <c r="H10" s="46">
        <v>24.3</v>
      </c>
      <c r="I10" s="46">
        <v>25</v>
      </c>
      <c r="J10" s="46">
        <v>24.2</v>
      </c>
      <c r="K10" s="46">
        <v>24.9</v>
      </c>
      <c r="L10" s="46">
        <v>25.1</v>
      </c>
      <c r="M10" s="46">
        <v>24.9</v>
      </c>
      <c r="N10" s="75"/>
    </row>
    <row r="11" spans="2:24" x14ac:dyDescent="0.35">
      <c r="B11" s="75"/>
      <c r="C11" s="46">
        <v>24.4</v>
      </c>
      <c r="D11" s="46">
        <v>24.5</v>
      </c>
      <c r="E11" s="46">
        <v>25.2</v>
      </c>
      <c r="F11" s="46">
        <v>23.7</v>
      </c>
      <c r="G11" s="46">
        <v>24.6</v>
      </c>
      <c r="H11" s="46">
        <v>23.7</v>
      </c>
      <c r="I11" s="46">
        <v>25</v>
      </c>
      <c r="J11" s="46">
        <v>24.2</v>
      </c>
      <c r="K11" s="46">
        <v>24.9</v>
      </c>
      <c r="L11" s="46">
        <v>25.2</v>
      </c>
      <c r="M11" s="46">
        <v>25</v>
      </c>
      <c r="N11" s="75"/>
    </row>
    <row r="12" spans="2:24" x14ac:dyDescent="0.35">
      <c r="B12" s="31" t="s">
        <v>70</v>
      </c>
      <c r="C12" s="46">
        <f>AVERAGE(C4:C11)</f>
        <v>24.337500000000002</v>
      </c>
      <c r="D12" s="46">
        <f t="shared" ref="D12:M12" si="0">AVERAGE(D4:D11)</f>
        <v>24.3125</v>
      </c>
      <c r="E12" s="46">
        <f t="shared" si="0"/>
        <v>25.012499999999999</v>
      </c>
      <c r="F12" s="46">
        <f t="shared" si="0"/>
        <v>24.037499999999998</v>
      </c>
      <c r="G12" s="46">
        <f t="shared" si="0"/>
        <v>24.362500000000001</v>
      </c>
      <c r="H12" s="46">
        <f t="shared" si="0"/>
        <v>24.037499999999998</v>
      </c>
      <c r="I12" s="46">
        <f t="shared" si="0"/>
        <v>24.737500000000001</v>
      </c>
      <c r="J12" s="46">
        <f t="shared" si="0"/>
        <v>24.237499999999997</v>
      </c>
      <c r="K12" s="46">
        <f t="shared" si="0"/>
        <v>24.700000000000003</v>
      </c>
      <c r="L12" s="46">
        <f t="shared" si="0"/>
        <v>24.724999999999998</v>
      </c>
      <c r="M12" s="46">
        <f t="shared" si="0"/>
        <v>25.162500000000001</v>
      </c>
      <c r="N12" s="27"/>
    </row>
    <row r="13" spans="2:24" ht="15" thickBot="1" x14ac:dyDescent="0.4">
      <c r="P13" s="32" t="s">
        <v>5</v>
      </c>
      <c r="U13" s="32" t="s">
        <v>21</v>
      </c>
      <c r="V13" s="32">
        <v>0.05</v>
      </c>
    </row>
    <row r="14" spans="2:24" ht="15" thickTop="1" x14ac:dyDescent="0.35">
      <c r="P14" s="3" t="s">
        <v>11</v>
      </c>
      <c r="Q14" s="3" t="s">
        <v>6</v>
      </c>
      <c r="R14" s="3" t="s">
        <v>7</v>
      </c>
      <c r="S14" s="3" t="s">
        <v>8</v>
      </c>
      <c r="T14" s="3" t="s">
        <v>9</v>
      </c>
      <c r="U14" s="3" t="s">
        <v>10</v>
      </c>
      <c r="V14" s="3" t="s">
        <v>18</v>
      </c>
      <c r="W14" s="3" t="s">
        <v>19</v>
      </c>
      <c r="X14" s="3" t="s">
        <v>20</v>
      </c>
    </row>
    <row r="15" spans="2:24" x14ac:dyDescent="0.35">
      <c r="P15" s="32" t="s">
        <v>12</v>
      </c>
      <c r="Q15" s="32">
        <f>COUNT(C4:C11)</f>
        <v>8</v>
      </c>
      <c r="R15" s="29">
        <f>SUM(C4:C11)</f>
        <v>194.70000000000002</v>
      </c>
      <c r="S15" s="29">
        <f>AVERAGE(C4:C11)</f>
        <v>24.337500000000002</v>
      </c>
      <c r="T15" s="32">
        <f>VAR(C4:C11)</f>
        <v>0.11696428571428576</v>
      </c>
      <c r="U15" s="32">
        <f>DEVSQ(C4:C11)</f>
        <v>0.81875000000000031</v>
      </c>
      <c r="V15" s="32">
        <f t="shared" ref="V15:V25" si="1">SQRT($S$30/Q15)</f>
        <v>9.5378177552555302E-2</v>
      </c>
      <c r="W15" s="32">
        <f t="shared" ref="W15:W25" si="2">S15-V15*TINV($V$13,$R$30)</f>
        <v>24.147577784724344</v>
      </c>
      <c r="X15" s="32">
        <f t="shared" ref="X15:X25" si="3">S15+V15*TINV($V$13,$R$30)</f>
        <v>24.52742221527566</v>
      </c>
    </row>
    <row r="16" spans="2:24" x14ac:dyDescent="0.35">
      <c r="P16" s="32" t="s">
        <v>13</v>
      </c>
      <c r="Q16" s="32">
        <f>COUNT(D4:D11)</f>
        <v>8</v>
      </c>
      <c r="R16" s="29">
        <f>SUM(D4:D11)</f>
        <v>194.5</v>
      </c>
      <c r="S16" s="29">
        <f>AVERAGE(D4:D11)</f>
        <v>24.3125</v>
      </c>
      <c r="T16" s="32">
        <f>VAR(D4:D11)</f>
        <v>9.821428571428573E-3</v>
      </c>
      <c r="U16" s="32">
        <f>DEVSQ(D4:D11)</f>
        <v>6.8750000000000006E-2</v>
      </c>
      <c r="V16" s="32">
        <f t="shared" si="1"/>
        <v>9.5378177552555302E-2</v>
      </c>
      <c r="W16" s="32">
        <f t="shared" si="2"/>
        <v>24.122577784724342</v>
      </c>
      <c r="X16" s="32">
        <f t="shared" si="3"/>
        <v>24.502422215275658</v>
      </c>
    </row>
    <row r="17" spans="16:24" x14ac:dyDescent="0.35">
      <c r="P17" s="32" t="s">
        <v>14</v>
      </c>
      <c r="Q17" s="32">
        <f>COUNT(E4:E11)</f>
        <v>8</v>
      </c>
      <c r="R17" s="29">
        <f>SUM(E4:E11)</f>
        <v>200.1</v>
      </c>
      <c r="S17" s="29">
        <f>AVERAGE(E4:E11)</f>
        <v>25.012499999999999</v>
      </c>
      <c r="T17" s="32">
        <f>VAR(E4:E11)</f>
        <v>0.10982142857142856</v>
      </c>
      <c r="U17" s="32">
        <f>DEVSQ(E4:E11)</f>
        <v>0.76874999999999993</v>
      </c>
      <c r="V17" s="32">
        <f t="shared" si="1"/>
        <v>9.5378177552555302E-2</v>
      </c>
      <c r="W17" s="32">
        <f t="shared" si="2"/>
        <v>24.822577784724341</v>
      </c>
      <c r="X17" s="32">
        <f t="shared" si="3"/>
        <v>25.202422215275657</v>
      </c>
    </row>
    <row r="18" spans="16:24" x14ac:dyDescent="0.35">
      <c r="P18" s="32" t="s">
        <v>15</v>
      </c>
      <c r="Q18" s="32">
        <f>COUNT(F4:F11)</f>
        <v>8</v>
      </c>
      <c r="R18" s="29">
        <f>SUM(F4:F11)</f>
        <v>192.29999999999998</v>
      </c>
      <c r="S18" s="29">
        <f>AVERAGE(F4:F11)</f>
        <v>24.037499999999998</v>
      </c>
      <c r="T18" s="32">
        <f>VAR(F4:F11)</f>
        <v>6.5535714285714669E-2</v>
      </c>
      <c r="U18" s="32">
        <f>DEVSQ(F4:F11)</f>
        <v>0.45875000000000266</v>
      </c>
      <c r="V18" s="32">
        <f t="shared" si="1"/>
        <v>9.5378177552555302E-2</v>
      </c>
      <c r="W18" s="32">
        <f t="shared" si="2"/>
        <v>23.84757778472434</v>
      </c>
      <c r="X18" s="32">
        <f t="shared" si="3"/>
        <v>24.227422215275656</v>
      </c>
    </row>
    <row r="19" spans="16:24" x14ac:dyDescent="0.35">
      <c r="P19" s="32" t="s">
        <v>16</v>
      </c>
      <c r="Q19" s="32">
        <f>COUNT(G4:G11)</f>
        <v>8</v>
      </c>
      <c r="R19" s="29">
        <f>SUM(G4:G11)</f>
        <v>194.9</v>
      </c>
      <c r="S19" s="29">
        <f>AVERAGE(G4:G11)</f>
        <v>24.362500000000001</v>
      </c>
      <c r="T19" s="32">
        <f>VAR(G4:G11)</f>
        <v>5.4107142857142999E-2</v>
      </c>
      <c r="U19" s="32">
        <f>DEVSQ(G4:G11)</f>
        <v>0.37875000000000097</v>
      </c>
      <c r="V19" s="32">
        <f t="shared" si="1"/>
        <v>9.5378177552555302E-2</v>
      </c>
      <c r="W19" s="32">
        <f t="shared" si="2"/>
        <v>24.172577784724343</v>
      </c>
      <c r="X19" s="32">
        <f t="shared" si="3"/>
        <v>24.552422215275659</v>
      </c>
    </row>
    <row r="20" spans="16:24" x14ac:dyDescent="0.35">
      <c r="P20" s="32" t="s">
        <v>17</v>
      </c>
      <c r="Q20" s="32">
        <f>COUNT(H4:H11)</f>
        <v>8</v>
      </c>
      <c r="R20" s="29">
        <f>SUM(H4:H11)</f>
        <v>192.29999999999998</v>
      </c>
      <c r="S20" s="29">
        <f>AVERAGE(H4:H11)</f>
        <v>24.037499999999998</v>
      </c>
      <c r="T20" s="32">
        <f>VAR(H4:H11)</f>
        <v>6.5535714285714669E-2</v>
      </c>
      <c r="U20" s="32">
        <f>DEVSQ(H4:H11)</f>
        <v>0.45875000000000266</v>
      </c>
      <c r="V20" s="32">
        <f t="shared" si="1"/>
        <v>9.5378177552555302E-2</v>
      </c>
      <c r="W20" s="32">
        <f t="shared" si="2"/>
        <v>23.84757778472434</v>
      </c>
      <c r="X20" s="32">
        <f t="shared" si="3"/>
        <v>24.227422215275656</v>
      </c>
    </row>
    <row r="21" spans="16:24" x14ac:dyDescent="0.35">
      <c r="P21" s="48" t="s">
        <v>176</v>
      </c>
      <c r="Q21" s="48">
        <f>COUNT(I4:I11)</f>
        <v>8</v>
      </c>
      <c r="R21" s="53">
        <f>SUM(I4:I11)</f>
        <v>197.9</v>
      </c>
      <c r="S21" s="53">
        <f>AVERAGE(I4:I11)</f>
        <v>24.737500000000001</v>
      </c>
      <c r="T21" s="48">
        <f>VAR(I4:I11)</f>
        <v>7.1250000000000091E-2</v>
      </c>
      <c r="U21" s="48">
        <f>DEVSQ(I4:I11)</f>
        <v>0.49875000000000064</v>
      </c>
      <c r="V21" s="48">
        <f t="shared" si="1"/>
        <v>9.5378177552555302E-2</v>
      </c>
      <c r="W21" s="48">
        <f t="shared" si="2"/>
        <v>24.547577784724343</v>
      </c>
      <c r="X21" s="48">
        <f t="shared" si="3"/>
        <v>24.927422215275659</v>
      </c>
    </row>
    <row r="22" spans="16:24" x14ac:dyDescent="0.35">
      <c r="P22" s="48" t="s">
        <v>177</v>
      </c>
      <c r="Q22" s="48">
        <f>COUNT(J4:J11)</f>
        <v>8</v>
      </c>
      <c r="R22" s="53">
        <f>SUM(J4:J11)</f>
        <v>193.89999999999998</v>
      </c>
      <c r="S22" s="53">
        <f>AVERAGE(J4:J11)</f>
        <v>24.237499999999997</v>
      </c>
      <c r="T22" s="48">
        <f>VAR(J4:J11)</f>
        <v>3.9821428571428459E-2</v>
      </c>
      <c r="U22" s="48">
        <f>DEVSQ(J4:J11)</f>
        <v>0.27874999999999922</v>
      </c>
      <c r="V22" s="48">
        <f t="shared" si="1"/>
        <v>9.5378177552555302E-2</v>
      </c>
      <c r="W22" s="48">
        <f t="shared" si="2"/>
        <v>24.047577784724339</v>
      </c>
      <c r="X22" s="48">
        <f t="shared" si="3"/>
        <v>24.427422215275655</v>
      </c>
    </row>
    <row r="23" spans="16:24" x14ac:dyDescent="0.35">
      <c r="P23" s="48" t="s">
        <v>181</v>
      </c>
      <c r="Q23" s="48">
        <f>COUNT(K4:K11)</f>
        <v>8</v>
      </c>
      <c r="R23" s="53">
        <f>SUM(K4:K11)</f>
        <v>197.60000000000002</v>
      </c>
      <c r="S23" s="53">
        <f>AVERAGE(K4:K11)</f>
        <v>24.700000000000003</v>
      </c>
      <c r="T23" s="48">
        <f>VAR(K4:K11)</f>
        <v>5.9999999999999887E-2</v>
      </c>
      <c r="U23" s="48">
        <f>DEVSQ(K4:K11)</f>
        <v>0.41999999999999921</v>
      </c>
      <c r="V23" s="48">
        <f t="shared" si="1"/>
        <v>9.5378177552555302E-2</v>
      </c>
      <c r="W23" s="48">
        <f t="shared" si="2"/>
        <v>24.510077784724345</v>
      </c>
      <c r="X23" s="48">
        <f t="shared" si="3"/>
        <v>24.889922215275661</v>
      </c>
    </row>
    <row r="24" spans="16:24" x14ac:dyDescent="0.35">
      <c r="P24" s="48" t="s">
        <v>182</v>
      </c>
      <c r="Q24" s="48">
        <f>COUNT(L4:L11)</f>
        <v>8</v>
      </c>
      <c r="R24" s="51">
        <f>SUM(L4:L11)</f>
        <v>197.79999999999998</v>
      </c>
      <c r="S24" s="51">
        <f>AVERAGE(L4:L11)</f>
        <v>24.724999999999998</v>
      </c>
      <c r="T24" s="48">
        <f>VAR(L4:L11)</f>
        <v>0.18500000000000025</v>
      </c>
      <c r="U24" s="48">
        <f>DEVSQ(L4:L11)</f>
        <v>1.2950000000000017</v>
      </c>
      <c r="V24" s="48">
        <f t="shared" si="1"/>
        <v>9.5378177552555302E-2</v>
      </c>
      <c r="W24" s="48">
        <f t="shared" si="2"/>
        <v>24.53507778472434</v>
      </c>
      <c r="X24" s="48">
        <f t="shared" si="3"/>
        <v>24.914922215275656</v>
      </c>
    </row>
    <row r="25" spans="16:24" x14ac:dyDescent="0.35">
      <c r="P25" s="4" t="s">
        <v>183</v>
      </c>
      <c r="Q25" s="4">
        <f>COUNT(M4:M11)</f>
        <v>8</v>
      </c>
      <c r="R25" s="50">
        <f>SUM(M4:M11)</f>
        <v>201.3</v>
      </c>
      <c r="S25" s="50">
        <f>AVERAGE(M4:M11)</f>
        <v>25.162500000000001</v>
      </c>
      <c r="T25" s="4">
        <f>VAR(M4:M11)</f>
        <v>2.2678571428571399E-2</v>
      </c>
      <c r="U25" s="4">
        <f>DEVSQ(M4:M11)</f>
        <v>0.15874999999999978</v>
      </c>
      <c r="V25" s="4">
        <f t="shared" si="1"/>
        <v>9.5378177552555302E-2</v>
      </c>
      <c r="W25" s="4">
        <f t="shared" si="2"/>
        <v>24.972577784724344</v>
      </c>
      <c r="X25" s="4">
        <f t="shared" si="3"/>
        <v>25.352422215275659</v>
      </c>
    </row>
    <row r="27" spans="16:24" ht="15" thickBot="1" x14ac:dyDescent="0.4">
      <c r="P27" s="32" t="s">
        <v>22</v>
      </c>
    </row>
    <row r="28" spans="16:24" ht="15" thickTop="1" x14ac:dyDescent="0.35">
      <c r="P28" s="3" t="s">
        <v>23</v>
      </c>
      <c r="Q28" s="3" t="s">
        <v>10</v>
      </c>
      <c r="R28" s="3" t="s">
        <v>24</v>
      </c>
      <c r="S28" s="3" t="s">
        <v>25</v>
      </c>
      <c r="T28" s="3" t="s">
        <v>26</v>
      </c>
      <c r="U28" s="3" t="s">
        <v>27</v>
      </c>
      <c r="V28" s="3" t="s">
        <v>28</v>
      </c>
      <c r="W28" s="3" t="s">
        <v>29</v>
      </c>
      <c r="X28" s="3" t="s">
        <v>30</v>
      </c>
    </row>
    <row r="29" spans="16:24" x14ac:dyDescent="0.35">
      <c r="P29" s="32" t="s">
        <v>31</v>
      </c>
      <c r="Q29" s="32">
        <f>Q31-Q30</f>
        <v>11.387045454545438</v>
      </c>
      <c r="R29" s="32">
        <f>COUNTA(P15:P25)-1</f>
        <v>10</v>
      </c>
      <c r="S29" s="32">
        <f>Q29/R29</f>
        <v>1.1387045454545439</v>
      </c>
      <c r="T29" s="32">
        <f>S29/S30</f>
        <v>15.64670979254959</v>
      </c>
      <c r="U29" s="32">
        <f>FDIST(T29,R29,R30)</f>
        <v>7.0820833630928147E-15</v>
      </c>
      <c r="V29" s="32">
        <f>FINV(V13,R29,R30)</f>
        <v>1.956024001937567</v>
      </c>
      <c r="W29" s="32">
        <f>SQRT(DEVSQ(S15:S25)/(S30*R29))</f>
        <v>1.398513040364197</v>
      </c>
      <c r="X29" s="32">
        <f>(Q31-R31*S30)/(Q31+S30)</f>
        <v>0.62468081543806719</v>
      </c>
    </row>
    <row r="30" spans="16:24" x14ac:dyDescent="0.35">
      <c r="P30" s="32" t="s">
        <v>32</v>
      </c>
      <c r="Q30" s="32">
        <f>SUM(U15:U25)</f>
        <v>5.6037500000000069</v>
      </c>
      <c r="R30" s="32">
        <f>R31-R29</f>
        <v>77</v>
      </c>
      <c r="S30" s="32">
        <f>Q30/R30</f>
        <v>7.2775974025974119E-2</v>
      </c>
    </row>
    <row r="31" spans="16:24" x14ac:dyDescent="0.35">
      <c r="P31" s="32" t="s">
        <v>33</v>
      </c>
      <c r="Q31" s="32">
        <f>DEVSQ(C4:M11)</f>
        <v>16.990795454545445</v>
      </c>
      <c r="R31" s="29">
        <f>COUNTA(C4:M11)-1</f>
        <v>87</v>
      </c>
      <c r="S31" s="32">
        <f>Q31/R31</f>
        <v>0.19529649947753386</v>
      </c>
    </row>
  </sheetData>
  <mergeCells count="4">
    <mergeCell ref="B2:N2"/>
    <mergeCell ref="B4:B11"/>
    <mergeCell ref="N4:N7"/>
    <mergeCell ref="N8:N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CA51-DE73-4F1E-B5FE-AF3173BEC563}">
  <dimension ref="B2:X31"/>
  <sheetViews>
    <sheetView workbookViewId="0">
      <selection activeCell="H21" sqref="H21"/>
    </sheetView>
  </sheetViews>
  <sheetFormatPr defaultColWidth="9.1796875" defaultRowHeight="14.5" x14ac:dyDescent="0.35"/>
  <cols>
    <col min="1" max="1" width="9.1796875" style="32"/>
    <col min="2" max="2" width="11.453125" style="32" customWidth="1"/>
    <col min="3" max="13" width="9.81640625" style="32" customWidth="1"/>
    <col min="14" max="15" width="9.1796875" style="32"/>
    <col min="16" max="16" width="18" style="32" customWidth="1"/>
    <col min="17" max="19" width="9.1796875" style="32"/>
    <col min="20" max="21" width="11.81640625" style="32" bestFit="1" customWidth="1"/>
    <col min="22" max="16384" width="9.1796875" style="32"/>
  </cols>
  <sheetData>
    <row r="2" spans="2:24" x14ac:dyDescent="0.35">
      <c r="B2" s="77" t="s">
        <v>179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2:24" ht="18" customHeight="1" x14ac:dyDescent="0.35">
      <c r="B3" s="31" t="s">
        <v>0</v>
      </c>
      <c r="C3" s="30">
        <v>1</v>
      </c>
      <c r="D3" s="30">
        <v>2</v>
      </c>
      <c r="E3" s="30">
        <v>3</v>
      </c>
      <c r="F3" s="31">
        <v>4</v>
      </c>
      <c r="G3" s="31">
        <v>5</v>
      </c>
      <c r="H3" s="31">
        <v>6</v>
      </c>
      <c r="I3" s="31">
        <v>7</v>
      </c>
      <c r="J3" s="31">
        <v>8</v>
      </c>
      <c r="K3" s="31">
        <v>9</v>
      </c>
      <c r="L3" s="31">
        <v>10</v>
      </c>
      <c r="M3" s="31">
        <v>11</v>
      </c>
      <c r="N3" s="27"/>
    </row>
    <row r="4" spans="2:24" ht="15" customHeight="1" x14ac:dyDescent="0.35">
      <c r="B4" s="75" t="s">
        <v>180</v>
      </c>
      <c r="C4" s="25">
        <v>1.06</v>
      </c>
      <c r="D4" s="47">
        <v>0.96099999999999997</v>
      </c>
      <c r="E4" s="47">
        <v>0.97799999999999998</v>
      </c>
      <c r="F4" s="47">
        <v>0.97099999999999997</v>
      </c>
      <c r="G4" s="47">
        <v>0.66400000000000003</v>
      </c>
      <c r="H4" s="47">
        <v>0.97099999999999997</v>
      </c>
      <c r="I4" s="25">
        <v>1.02</v>
      </c>
      <c r="J4" s="25">
        <v>1.01</v>
      </c>
      <c r="K4" s="25">
        <v>1.01</v>
      </c>
      <c r="L4" s="47">
        <v>0.98399999999999999</v>
      </c>
      <c r="M4" s="72">
        <v>0.254</v>
      </c>
      <c r="N4" s="75" t="s">
        <v>3</v>
      </c>
    </row>
    <row r="5" spans="2:24" x14ac:dyDescent="0.35">
      <c r="B5" s="75"/>
      <c r="C5" s="25">
        <v>1.05</v>
      </c>
      <c r="D5" s="47">
        <v>0.97099999999999997</v>
      </c>
      <c r="E5" s="47">
        <v>0.95399999999999996</v>
      </c>
      <c r="F5" s="47">
        <v>0.95799999999999996</v>
      </c>
      <c r="G5" s="47">
        <v>0.67800000000000005</v>
      </c>
      <c r="H5" s="47">
        <v>0.95799999999999996</v>
      </c>
      <c r="I5" s="25">
        <v>1.02</v>
      </c>
      <c r="J5" s="25">
        <v>1.01</v>
      </c>
      <c r="K5" s="25">
        <v>1.01</v>
      </c>
      <c r="L5" s="47">
        <v>0.98499999999999999</v>
      </c>
      <c r="M5" s="72">
        <v>0.254</v>
      </c>
      <c r="N5" s="75"/>
    </row>
    <row r="6" spans="2:24" x14ac:dyDescent="0.35">
      <c r="B6" s="75"/>
      <c r="C6" s="25">
        <v>1.04</v>
      </c>
      <c r="D6" s="47">
        <v>0.98599999999999999</v>
      </c>
      <c r="E6" s="47">
        <v>0.95199999999999996</v>
      </c>
      <c r="F6" s="47">
        <v>0.95099999999999996</v>
      </c>
      <c r="G6" s="47">
        <v>0.92400000000000004</v>
      </c>
      <c r="H6" s="47">
        <v>0.95099999999999996</v>
      </c>
      <c r="I6" s="25">
        <v>1.02</v>
      </c>
      <c r="J6" s="25">
        <v>1</v>
      </c>
      <c r="K6" s="47">
        <v>0.998</v>
      </c>
      <c r="L6" s="47">
        <v>0.98099999999999998</v>
      </c>
      <c r="M6" s="72">
        <v>0.252</v>
      </c>
      <c r="N6" s="75"/>
    </row>
    <row r="7" spans="2:24" x14ac:dyDescent="0.35">
      <c r="B7" s="75"/>
      <c r="C7" s="25">
        <v>1.04</v>
      </c>
      <c r="D7" s="47">
        <v>0.98399999999999999</v>
      </c>
      <c r="E7" s="47">
        <v>0.97399999999999998</v>
      </c>
      <c r="F7" s="47">
        <v>0.97099999999999997</v>
      </c>
      <c r="G7" s="47">
        <v>0.92700000000000005</v>
      </c>
      <c r="H7" s="47">
        <v>0.97099999999999997</v>
      </c>
      <c r="I7" s="25">
        <v>1.01</v>
      </c>
      <c r="J7" s="25">
        <v>1</v>
      </c>
      <c r="K7" s="47">
        <v>0.997</v>
      </c>
      <c r="L7" s="47">
        <v>0.98199999999999998</v>
      </c>
      <c r="M7" s="72">
        <v>0.254</v>
      </c>
      <c r="N7" s="75"/>
    </row>
    <row r="8" spans="2:24" x14ac:dyDescent="0.35">
      <c r="B8" s="75"/>
      <c r="C8" s="47">
        <v>0.98199999999999998</v>
      </c>
      <c r="D8" s="25">
        <v>1.01</v>
      </c>
      <c r="E8" s="47">
        <v>0.96799999999999997</v>
      </c>
      <c r="F8" s="47">
        <v>0.98199999999999998</v>
      </c>
      <c r="G8" s="47">
        <v>0.92600000000000005</v>
      </c>
      <c r="H8" s="47">
        <v>0.98199999999999998</v>
      </c>
      <c r="I8" s="47">
        <v>0.96599999999999997</v>
      </c>
      <c r="J8" s="47">
        <v>0.65800000000000003</v>
      </c>
      <c r="K8" s="25">
        <v>1.02</v>
      </c>
      <c r="L8" s="47">
        <v>0.97199999999999998</v>
      </c>
      <c r="M8" s="72">
        <v>0.32600000000000001</v>
      </c>
      <c r="N8" s="75" t="s">
        <v>4</v>
      </c>
    </row>
    <row r="9" spans="2:24" x14ac:dyDescent="0.35">
      <c r="B9" s="75"/>
      <c r="C9" s="47">
        <v>0.98199999999999998</v>
      </c>
      <c r="D9" s="25">
        <v>1</v>
      </c>
      <c r="E9" s="47">
        <v>0.94399999999999995</v>
      </c>
      <c r="F9" s="47">
        <v>0.98199999999999998</v>
      </c>
      <c r="G9" s="47">
        <v>0.92100000000000004</v>
      </c>
      <c r="H9" s="47">
        <v>0.98199999999999998</v>
      </c>
      <c r="I9" s="47">
        <v>0.96799999999999997</v>
      </c>
      <c r="J9" s="47">
        <v>0.65800000000000003</v>
      </c>
      <c r="K9" s="25">
        <v>1.01</v>
      </c>
      <c r="L9" s="47">
        <v>0.98199999999999998</v>
      </c>
      <c r="M9" s="72">
        <v>0.32400000000000001</v>
      </c>
      <c r="N9" s="75"/>
    </row>
    <row r="10" spans="2:24" x14ac:dyDescent="0.35">
      <c r="B10" s="75"/>
      <c r="C10" s="47">
        <v>0.98299999999999998</v>
      </c>
      <c r="D10" s="47">
        <v>0.98599999999999999</v>
      </c>
      <c r="E10" s="47">
        <v>0.94599999999999995</v>
      </c>
      <c r="F10" s="47">
        <v>0.94</v>
      </c>
      <c r="G10" s="47">
        <v>0.95299999999999996</v>
      </c>
      <c r="H10" s="47">
        <v>0.94</v>
      </c>
      <c r="I10" s="47">
        <v>0.93799999999999994</v>
      </c>
      <c r="J10" s="47">
        <v>0.76900000000000002</v>
      </c>
      <c r="K10" s="25">
        <v>1.01</v>
      </c>
      <c r="L10" s="25">
        <v>1.01</v>
      </c>
      <c r="M10" s="72">
        <v>0.25</v>
      </c>
      <c r="N10" s="75"/>
    </row>
    <row r="11" spans="2:24" x14ac:dyDescent="0.35">
      <c r="B11" s="75"/>
      <c r="C11" s="47">
        <v>0.98599999999999999</v>
      </c>
      <c r="D11" s="47">
        <v>0.98899999999999999</v>
      </c>
      <c r="E11" s="47">
        <v>0.97</v>
      </c>
      <c r="F11" s="47">
        <v>0.93</v>
      </c>
      <c r="G11" s="47">
        <v>0.93400000000000005</v>
      </c>
      <c r="H11" s="47">
        <v>0.93</v>
      </c>
      <c r="I11" s="47">
        <v>0.93700000000000006</v>
      </c>
      <c r="J11" s="47">
        <v>0.76900000000000002</v>
      </c>
      <c r="K11" s="25">
        <v>1.02</v>
      </c>
      <c r="L11" s="25">
        <v>1.01</v>
      </c>
      <c r="M11" s="72">
        <v>0.25</v>
      </c>
      <c r="N11" s="75"/>
    </row>
    <row r="12" spans="2:24" x14ac:dyDescent="0.35">
      <c r="B12" s="31" t="s">
        <v>70</v>
      </c>
      <c r="C12" s="25">
        <f>AVERAGE(C4:C11)</f>
        <v>1.0153750000000001</v>
      </c>
      <c r="D12" s="47">
        <f t="shared" ref="D12:M12" si="0">AVERAGE(D4:D11)</f>
        <v>0.98587499999999995</v>
      </c>
      <c r="E12" s="47">
        <f t="shared" si="0"/>
        <v>0.96074999999999988</v>
      </c>
      <c r="F12" s="47">
        <f t="shared" si="0"/>
        <v>0.96062500000000006</v>
      </c>
      <c r="G12" s="47">
        <f>AVERAGE(G4:G11)</f>
        <v>0.86587500000000006</v>
      </c>
      <c r="H12" s="47">
        <f t="shared" si="0"/>
        <v>0.96062500000000006</v>
      </c>
      <c r="I12" s="47">
        <f t="shared" si="0"/>
        <v>0.98487500000000006</v>
      </c>
      <c r="J12" s="47">
        <f t="shared" si="0"/>
        <v>0.85925000000000007</v>
      </c>
      <c r="K12" s="25">
        <f t="shared" si="0"/>
        <v>1.0093749999999999</v>
      </c>
      <c r="L12" s="47">
        <f t="shared" si="0"/>
        <v>0.98824999999999996</v>
      </c>
      <c r="M12" s="47">
        <f t="shared" si="0"/>
        <v>0.27050000000000002</v>
      </c>
      <c r="N12" s="27"/>
    </row>
    <row r="13" spans="2:24" ht="15" thickBot="1" x14ac:dyDescent="0.4">
      <c r="P13" s="32" t="s">
        <v>5</v>
      </c>
      <c r="U13" s="32" t="s">
        <v>21</v>
      </c>
      <c r="V13" s="32">
        <v>0.05</v>
      </c>
    </row>
    <row r="14" spans="2:24" ht="15" thickTop="1" x14ac:dyDescent="0.35">
      <c r="P14" s="3" t="s">
        <v>11</v>
      </c>
      <c r="Q14" s="3" t="s">
        <v>6</v>
      </c>
      <c r="R14" s="3" t="s">
        <v>7</v>
      </c>
      <c r="S14" s="3" t="s">
        <v>8</v>
      </c>
      <c r="T14" s="3" t="s">
        <v>9</v>
      </c>
      <c r="U14" s="3" t="s">
        <v>10</v>
      </c>
      <c r="V14" s="3" t="s">
        <v>18</v>
      </c>
      <c r="W14" s="3" t="s">
        <v>19</v>
      </c>
      <c r="X14" s="3" t="s">
        <v>20</v>
      </c>
    </row>
    <row r="15" spans="2:24" x14ac:dyDescent="0.35">
      <c r="P15" s="32" t="s">
        <v>12</v>
      </c>
      <c r="Q15" s="32">
        <f>COUNT(C4:C11)</f>
        <v>8</v>
      </c>
      <c r="R15" s="6">
        <f>SUM(C4:C11)</f>
        <v>8.1230000000000011</v>
      </c>
      <c r="S15" s="6">
        <f>AVERAGE(C4:C11)</f>
        <v>1.0153750000000001</v>
      </c>
      <c r="T15" s="32">
        <f>VAR(C4:C11)</f>
        <v>1.2202678571428592E-3</v>
      </c>
      <c r="U15" s="32">
        <f>DEVSQ(C4:C11)</f>
        <v>8.5418750000000147E-3</v>
      </c>
      <c r="V15" s="32">
        <f t="shared" ref="V15:V25" si="1">SQRT($S$30/Q15)</f>
        <v>2.28025340711276E-2</v>
      </c>
      <c r="W15" s="32">
        <f t="shared" ref="W15:W25" si="2">S15-V15*TINV($V$13,$R$30)</f>
        <v>0.96996935380487392</v>
      </c>
      <c r="X15" s="32">
        <f t="shared" ref="X15:X25" si="3">S15+V15*TINV($V$13,$R$30)</f>
        <v>1.0607806461951264</v>
      </c>
    </row>
    <row r="16" spans="2:24" x14ac:dyDescent="0.35">
      <c r="P16" s="32" t="s">
        <v>13</v>
      </c>
      <c r="Q16" s="32">
        <f>COUNT(D4:D11)</f>
        <v>8</v>
      </c>
      <c r="R16" s="11">
        <f>SUM(D4:D11)</f>
        <v>7.8869999999999996</v>
      </c>
      <c r="S16" s="11">
        <f>AVERAGE(D4:D11)</f>
        <v>0.98587499999999995</v>
      </c>
      <c r="T16" s="32">
        <f>VAR(D4:D11)</f>
        <v>2.3355357142857184E-4</v>
      </c>
      <c r="U16" s="32">
        <f>DEVSQ(D4:D11)</f>
        <v>1.6348750000000029E-3</v>
      </c>
      <c r="V16" s="32">
        <f t="shared" si="1"/>
        <v>2.28025340711276E-2</v>
      </c>
      <c r="W16" s="32">
        <f t="shared" si="2"/>
        <v>0.94046935380487373</v>
      </c>
      <c r="X16" s="32">
        <f t="shared" si="3"/>
        <v>1.0312806461951263</v>
      </c>
    </row>
    <row r="17" spans="16:24" x14ac:dyDescent="0.35">
      <c r="P17" s="32" t="s">
        <v>14</v>
      </c>
      <c r="Q17" s="32">
        <f>COUNT(E4:E11)</f>
        <v>8</v>
      </c>
      <c r="R17" s="11">
        <f>SUM(E4:E11)</f>
        <v>7.6859999999999991</v>
      </c>
      <c r="S17" s="11">
        <f>AVERAGE(E4:E11)</f>
        <v>0.96074999999999988</v>
      </c>
      <c r="T17" s="32">
        <f>VAR(E4:E11)</f>
        <v>1.7592857142857172E-4</v>
      </c>
      <c r="U17" s="32">
        <f>DEVSQ(E4:E11)</f>
        <v>1.2315000000000021E-3</v>
      </c>
      <c r="V17" s="32">
        <f t="shared" si="1"/>
        <v>2.28025340711276E-2</v>
      </c>
      <c r="W17" s="32">
        <f t="shared" si="2"/>
        <v>0.91534435380487367</v>
      </c>
      <c r="X17" s="32">
        <f t="shared" si="3"/>
        <v>1.0061556461951262</v>
      </c>
    </row>
    <row r="18" spans="16:24" x14ac:dyDescent="0.35">
      <c r="P18" s="32" t="s">
        <v>15</v>
      </c>
      <c r="Q18" s="32">
        <f>COUNT(F4:F11)</f>
        <v>8</v>
      </c>
      <c r="R18" s="11">
        <f>SUM(F4:F11)</f>
        <v>7.6850000000000005</v>
      </c>
      <c r="S18" s="11">
        <f>AVERAGE(F4:F11)</f>
        <v>0.96062500000000006</v>
      </c>
      <c r="T18" s="32">
        <f>VAR(F4:F11)</f>
        <v>3.7026785714285682E-4</v>
      </c>
      <c r="U18" s="32">
        <f>DEVSQ(F4:F11)</f>
        <v>2.5918749999999978E-3</v>
      </c>
      <c r="V18" s="32">
        <f t="shared" si="1"/>
        <v>2.28025340711276E-2</v>
      </c>
      <c r="W18" s="32">
        <f t="shared" si="2"/>
        <v>0.91521935380487385</v>
      </c>
      <c r="X18" s="32">
        <f t="shared" si="3"/>
        <v>1.0060306461951263</v>
      </c>
    </row>
    <row r="19" spans="16:24" x14ac:dyDescent="0.35">
      <c r="P19" s="32" t="s">
        <v>16</v>
      </c>
      <c r="Q19" s="32">
        <f>COUNT(G4:G11)</f>
        <v>8</v>
      </c>
      <c r="R19" s="11">
        <f>SUM(G4:G11)</f>
        <v>6.9270000000000005</v>
      </c>
      <c r="S19" s="11">
        <f>AVERAGE(G4:G11)</f>
        <v>0.86587500000000006</v>
      </c>
      <c r="T19" s="32">
        <f>VAR(G4:G11)</f>
        <v>1.4578696428571394E-2</v>
      </c>
      <c r="U19" s="32">
        <f>DEVSQ(G4:G11)</f>
        <v>0.10205087499999999</v>
      </c>
      <c r="V19" s="32">
        <f t="shared" si="1"/>
        <v>2.28025340711276E-2</v>
      </c>
      <c r="W19" s="32">
        <f t="shared" si="2"/>
        <v>0.82046935380487385</v>
      </c>
      <c r="X19" s="32">
        <f t="shared" si="3"/>
        <v>0.91128064619512628</v>
      </c>
    </row>
    <row r="20" spans="16:24" x14ac:dyDescent="0.35">
      <c r="P20" s="32" t="s">
        <v>17</v>
      </c>
      <c r="Q20" s="32">
        <f>COUNT(H4:H11)</f>
        <v>8</v>
      </c>
      <c r="R20" s="11">
        <f>SUM(H4:H11)</f>
        <v>7.6850000000000005</v>
      </c>
      <c r="S20" s="11">
        <f>AVERAGE(H4:H11)</f>
        <v>0.96062500000000006</v>
      </c>
      <c r="T20" s="32">
        <f>VAR(H4:H11)</f>
        <v>3.7026785714285682E-4</v>
      </c>
      <c r="U20" s="32">
        <f>DEVSQ(H4:H11)</f>
        <v>2.5918749999999978E-3</v>
      </c>
      <c r="V20" s="32">
        <f t="shared" si="1"/>
        <v>2.28025340711276E-2</v>
      </c>
      <c r="W20" s="32">
        <f t="shared" si="2"/>
        <v>0.91521935380487385</v>
      </c>
      <c r="X20" s="32">
        <f t="shared" si="3"/>
        <v>1.0060306461951263</v>
      </c>
    </row>
    <row r="21" spans="16:24" x14ac:dyDescent="0.35">
      <c r="P21" s="48" t="s">
        <v>176</v>
      </c>
      <c r="Q21" s="48">
        <f>COUNT(I4:I11)</f>
        <v>8</v>
      </c>
      <c r="R21" s="51">
        <f>SUM(I4:I11)</f>
        <v>7.8790000000000004</v>
      </c>
      <c r="S21" s="51">
        <f>AVERAGE(I4:I11)</f>
        <v>0.98487500000000006</v>
      </c>
      <c r="T21" s="48">
        <f>VAR(I4:I11)</f>
        <v>1.3518392857142865E-3</v>
      </c>
      <c r="U21" s="48">
        <f>DEVSQ(I4:I11)</f>
        <v>9.462875000000006E-3</v>
      </c>
      <c r="V21" s="48">
        <f t="shared" si="1"/>
        <v>2.28025340711276E-2</v>
      </c>
      <c r="W21" s="48">
        <f t="shared" si="2"/>
        <v>0.93946935380487384</v>
      </c>
      <c r="X21" s="48">
        <f t="shared" si="3"/>
        <v>1.0302806461951264</v>
      </c>
    </row>
    <row r="22" spans="16:24" x14ac:dyDescent="0.35">
      <c r="P22" s="48" t="s">
        <v>177</v>
      </c>
      <c r="Q22" s="48">
        <f>COUNT(J4:J11)</f>
        <v>8</v>
      </c>
      <c r="R22" s="51">
        <f>SUM(J4:J11)</f>
        <v>6.8740000000000006</v>
      </c>
      <c r="S22" s="51">
        <f>AVERAGE(J4:J11)</f>
        <v>0.85925000000000007</v>
      </c>
      <c r="T22" s="48">
        <f>VAR(J4:J11)</f>
        <v>2.6052214285714217E-2</v>
      </c>
      <c r="U22" s="48">
        <f>DEVSQ(J4:J11)</f>
        <v>0.18236550000000001</v>
      </c>
      <c r="V22" s="48">
        <f t="shared" si="1"/>
        <v>2.28025340711276E-2</v>
      </c>
      <c r="W22" s="48">
        <f t="shared" si="2"/>
        <v>0.81384435380487385</v>
      </c>
      <c r="X22" s="48">
        <f t="shared" si="3"/>
        <v>0.90465564619512628</v>
      </c>
    </row>
    <row r="23" spans="16:24" x14ac:dyDescent="0.35">
      <c r="P23" s="48" t="s">
        <v>181</v>
      </c>
      <c r="Q23" s="48">
        <f>COUNT(K4:K11)</f>
        <v>8</v>
      </c>
      <c r="R23" s="51">
        <f>SUM(K4:K11)</f>
        <v>8.0749999999999993</v>
      </c>
      <c r="S23" s="51">
        <f>AVERAGE(K4:K11)</f>
        <v>1.0093749999999999</v>
      </c>
      <c r="T23" s="48">
        <f>VAR(K4:K11)</f>
        <v>7.2839285714285847E-5</v>
      </c>
      <c r="U23" s="48">
        <f>DEVSQ(K4:K11)</f>
        <v>5.0987500000000089E-4</v>
      </c>
      <c r="V23" s="48">
        <f t="shared" si="1"/>
        <v>2.28025340711276E-2</v>
      </c>
      <c r="W23" s="48">
        <f t="shared" si="2"/>
        <v>0.9639693538048737</v>
      </c>
      <c r="X23" s="48">
        <f t="shared" si="3"/>
        <v>1.0547806461951261</v>
      </c>
    </row>
    <row r="24" spans="16:24" x14ac:dyDescent="0.35">
      <c r="P24" s="48" t="s">
        <v>182</v>
      </c>
      <c r="Q24" s="48">
        <f>COUNT(L4:L11)</f>
        <v>8</v>
      </c>
      <c r="R24" s="51">
        <f>SUM(L4:L11)</f>
        <v>7.9059999999999997</v>
      </c>
      <c r="S24" s="51">
        <f>AVERAGE(L4:L11)</f>
        <v>0.98824999999999996</v>
      </c>
      <c r="T24" s="48">
        <f>VAR(L4:L11)</f>
        <v>1.956428571428575E-4</v>
      </c>
      <c r="U24" s="48">
        <f>DEVSQ(L4:L11)</f>
        <v>1.3695000000000024E-3</v>
      </c>
      <c r="V24" s="48">
        <f t="shared" si="1"/>
        <v>2.28025340711276E-2</v>
      </c>
      <c r="W24" s="48">
        <f t="shared" si="2"/>
        <v>0.94284435380487375</v>
      </c>
      <c r="X24" s="48">
        <f t="shared" si="3"/>
        <v>1.0336556461951263</v>
      </c>
    </row>
    <row r="25" spans="16:24" x14ac:dyDescent="0.35">
      <c r="P25" s="48" t="s">
        <v>183</v>
      </c>
      <c r="Q25" s="48">
        <f>COUNT(M4:M11)</f>
        <v>8</v>
      </c>
      <c r="R25" s="51">
        <f>SUM(M4:M11)</f>
        <v>2.1640000000000001</v>
      </c>
      <c r="S25" s="51">
        <f>AVERAGE(M4:M11)</f>
        <v>0.27050000000000002</v>
      </c>
      <c r="T25" s="48">
        <f>VAR(M4:M11)</f>
        <v>1.1345714285714292E-3</v>
      </c>
      <c r="U25" s="48">
        <f>DEVSQ(M4:M11)</f>
        <v>7.9420000000000029E-3</v>
      </c>
      <c r="V25" s="48">
        <f t="shared" si="1"/>
        <v>2.28025340711276E-2</v>
      </c>
      <c r="W25" s="48">
        <f t="shared" si="2"/>
        <v>0.22509435380487378</v>
      </c>
      <c r="X25" s="48">
        <f t="shared" si="3"/>
        <v>0.31590564619512623</v>
      </c>
    </row>
    <row r="27" spans="16:24" ht="15" thickBot="1" x14ac:dyDescent="0.4">
      <c r="P27" s="32" t="s">
        <v>22</v>
      </c>
    </row>
    <row r="28" spans="16:24" ht="15" thickTop="1" x14ac:dyDescent="0.35">
      <c r="P28" s="3" t="s">
        <v>23</v>
      </c>
      <c r="Q28" s="3" t="s">
        <v>10</v>
      </c>
      <c r="R28" s="3" t="s">
        <v>24</v>
      </c>
      <c r="S28" s="3" t="s">
        <v>25</v>
      </c>
      <c r="T28" s="3" t="s">
        <v>26</v>
      </c>
      <c r="U28" s="3" t="s">
        <v>27</v>
      </c>
      <c r="V28" s="3" t="s">
        <v>28</v>
      </c>
      <c r="W28" s="3" t="s">
        <v>29</v>
      </c>
      <c r="X28" s="3" t="s">
        <v>30</v>
      </c>
    </row>
    <row r="29" spans="16:24" x14ac:dyDescent="0.35">
      <c r="P29" s="32" t="s">
        <v>31</v>
      </c>
      <c r="Q29" s="32">
        <f>Q31-Q30</f>
        <v>3.6611333636363645</v>
      </c>
      <c r="R29" s="32">
        <f>COUNTA(P15:P25)-1</f>
        <v>10</v>
      </c>
      <c r="S29" s="32">
        <f>Q29/R29</f>
        <v>0.36611333636363647</v>
      </c>
      <c r="T29" s="32">
        <f>S29/S30</f>
        <v>88.015535481030838</v>
      </c>
      <c r="U29" s="32">
        <f>FDIST(T29,R29,R30)</f>
        <v>6.1731968031008247E-38</v>
      </c>
      <c r="V29" s="32">
        <f>FINV(V13,R29,R30)</f>
        <v>1.956024001937567</v>
      </c>
      <c r="W29" s="32">
        <f>SQRT(DEVSQ(S15:S25)/(S30*R29))</f>
        <v>3.3169175351716018</v>
      </c>
      <c r="X29" s="32">
        <f>(Q31-R31*S30)/(Q31+S30)</f>
        <v>0.90815685623609355</v>
      </c>
    </row>
    <row r="30" spans="16:24" x14ac:dyDescent="0.35">
      <c r="P30" s="32" t="s">
        <v>32</v>
      </c>
      <c r="Q30" s="32">
        <f>SUM(U15:U25)</f>
        <v>0.320292625</v>
      </c>
      <c r="R30" s="32">
        <f>R31-R29</f>
        <v>77</v>
      </c>
      <c r="S30" s="32">
        <f>Q30/R30</f>
        <v>4.1596444805194806E-3</v>
      </c>
    </row>
    <row r="31" spans="16:24" x14ac:dyDescent="0.35">
      <c r="P31" s="32" t="s">
        <v>33</v>
      </c>
      <c r="Q31" s="32">
        <f>DEVSQ(C4:M11)</f>
        <v>3.9814259886363645</v>
      </c>
      <c r="R31" s="6">
        <f>COUNTA(C4:M11)-1</f>
        <v>87</v>
      </c>
      <c r="S31" s="32">
        <f>Q31/R31</f>
        <v>4.5763517110762812E-2</v>
      </c>
    </row>
  </sheetData>
  <mergeCells count="4">
    <mergeCell ref="B2:N2"/>
    <mergeCell ref="B4:B11"/>
    <mergeCell ref="N4:N7"/>
    <mergeCell ref="N8:N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90"/>
  <sheetViews>
    <sheetView topLeftCell="H1" zoomScale="80" zoomScaleNormal="80" workbookViewId="0">
      <selection activeCell="K4" sqref="K4:K14"/>
    </sheetView>
  </sheetViews>
  <sheetFormatPr defaultColWidth="9.1796875" defaultRowHeight="14.5" x14ac:dyDescent="0.35"/>
  <cols>
    <col min="1" max="6" width="9.1796875" style="2"/>
    <col min="7" max="8" width="9.1796875" style="32"/>
    <col min="9" max="10" width="9.1796875" style="2"/>
    <col min="11" max="11" width="10.453125" style="2" bestFit="1" customWidth="1"/>
    <col min="12" max="12" width="9.1796875" style="2"/>
    <col min="13" max="13" width="10.6328125" style="2" bestFit="1" customWidth="1"/>
    <col min="14" max="14" width="9.1796875" style="2"/>
    <col min="15" max="15" width="10.453125" style="2" bestFit="1" customWidth="1"/>
    <col min="16" max="16" width="9.1796875" style="2"/>
    <col min="17" max="17" width="10.453125" style="2" bestFit="1" customWidth="1"/>
    <col min="18" max="18" width="9.1796875" style="2"/>
    <col min="19" max="22" width="9.1796875" style="32"/>
    <col min="23" max="23" width="9.1796875" style="2"/>
    <col min="24" max="24" width="14.6328125" style="2" customWidth="1"/>
    <col min="25" max="28" width="9.1796875" style="2"/>
    <col min="29" max="29" width="12.36328125" style="32" bestFit="1" customWidth="1"/>
    <col min="30" max="30" width="10.81640625" style="32" bestFit="1" customWidth="1"/>
    <col min="31" max="31" width="9.1796875" style="2"/>
    <col min="32" max="32" width="20.1796875" style="2" customWidth="1"/>
    <col min="33" max="33" width="9.453125" style="2" bestFit="1" customWidth="1"/>
    <col min="34" max="16384" width="9.1796875" style="2"/>
  </cols>
  <sheetData>
    <row r="1" spans="1:38" ht="15" customHeight="1" x14ac:dyDescent="0.35">
      <c r="C1" s="89" t="s">
        <v>39</v>
      </c>
      <c r="D1" s="89"/>
      <c r="E1" s="89"/>
      <c r="F1" s="89"/>
      <c r="G1" s="5"/>
      <c r="H1" s="5"/>
      <c r="J1" s="10" t="s">
        <v>43</v>
      </c>
      <c r="K1" s="87" t="s">
        <v>39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Y1" s="14" t="s">
        <v>35</v>
      </c>
      <c r="Z1" s="14" t="s">
        <v>36</v>
      </c>
      <c r="AA1" s="14" t="s">
        <v>37</v>
      </c>
      <c r="AB1" s="14" t="s">
        <v>38</v>
      </c>
      <c r="AC1" s="48" t="s">
        <v>178</v>
      </c>
      <c r="AD1" s="48" t="s">
        <v>179</v>
      </c>
      <c r="AF1" s="95" t="s">
        <v>62</v>
      </c>
      <c r="AG1" s="95"/>
      <c r="AH1" s="95"/>
      <c r="AI1" s="95"/>
    </row>
    <row r="2" spans="1:38" x14ac:dyDescent="0.35">
      <c r="A2" s="2" t="s">
        <v>0</v>
      </c>
      <c r="B2" s="7" t="s">
        <v>34</v>
      </c>
      <c r="C2" s="7" t="s">
        <v>35</v>
      </c>
      <c r="D2" s="7" t="s">
        <v>36</v>
      </c>
      <c r="E2" s="7" t="s">
        <v>37</v>
      </c>
      <c r="F2" s="7" t="s">
        <v>38</v>
      </c>
      <c r="G2" s="7" t="s">
        <v>178</v>
      </c>
      <c r="H2" s="7" t="s">
        <v>179</v>
      </c>
      <c r="J2" s="89" t="s">
        <v>34</v>
      </c>
      <c r="K2" s="96" t="s">
        <v>35</v>
      </c>
      <c r="L2" s="92"/>
      <c r="M2" s="91" t="s">
        <v>36</v>
      </c>
      <c r="N2" s="92"/>
      <c r="O2" s="91" t="s">
        <v>37</v>
      </c>
      <c r="P2" s="92"/>
      <c r="Q2" s="91" t="s">
        <v>38</v>
      </c>
      <c r="R2" s="92"/>
      <c r="S2" s="91" t="s">
        <v>178</v>
      </c>
      <c r="T2" s="92"/>
      <c r="U2" s="91" t="s">
        <v>179</v>
      </c>
      <c r="V2" s="92"/>
      <c r="X2" s="15" t="s">
        <v>45</v>
      </c>
      <c r="Y2" s="14">
        <f>SUM(L4*K4,L5*K5,L6*K6,L7*K7,L8*K8,L9*K9,L11*K11,L10*K10,L12*K12,L13*K13,L14*K14)</f>
        <v>7900.3</v>
      </c>
      <c r="Z2" s="14">
        <f>SUM(N4*M4,N5*M5,N6*M6,N7*M7,N8*M8,N9*M9,N11*M11,N10*M10,N12*M12,N13*M13,N14*M14)</f>
        <v>7877.9000000000005</v>
      </c>
      <c r="AA2" s="14">
        <f>SUM(P4*O4,P5*O5,P6*O6,P7*O7,P8*O8,P9*O9,P11*O11,P10*O10,P12*O12,P13*O13,P14*O14)</f>
        <v>1052.4000000000001</v>
      </c>
      <c r="AB2" s="14">
        <f>SUM(R4*Q4,R5*Q5,R6*Q6,R7*Q7,R8*Q8,R9*Q9,R11*Q11,R10*Q10,R12*Q12,R13*Q13,R14*Q14)</f>
        <v>1132.2</v>
      </c>
      <c r="AC2" s="14">
        <f>SUM(T4*S4,T5*S5,T6*S6,T7*S7,T8*S8,T9*S9,T11*S11,T10*S10,T12*S12,T13*S13,T14*S14)</f>
        <v>2157.2999999999997</v>
      </c>
      <c r="AD2" s="14">
        <f>SUM(V4*U4,V5*U5,V6*U6,V7*U7,V8*U8,V9*U9,V11*U11,V10*U10,V12*U12,V13*U13,V14*U14)</f>
        <v>78.891000000000005</v>
      </c>
      <c r="AF2" s="2" t="s">
        <v>63</v>
      </c>
      <c r="AG2" s="2">
        <v>2.4849999999999999</v>
      </c>
      <c r="AH2" s="2" t="s">
        <v>64</v>
      </c>
      <c r="AI2" s="2">
        <v>2.234</v>
      </c>
    </row>
    <row r="3" spans="1:38" ht="16.5" x14ac:dyDescent="0.35">
      <c r="A3" s="2">
        <v>1</v>
      </c>
      <c r="B3" s="93">
        <v>1</v>
      </c>
      <c r="C3" s="8">
        <f>'TC-1'!C4</f>
        <v>87.1</v>
      </c>
      <c r="D3" s="8">
        <f>'TC-2'!C4</f>
        <v>89.1</v>
      </c>
      <c r="E3" s="8">
        <f>'SC-1'!C4</f>
        <v>11.9</v>
      </c>
      <c r="F3" s="8">
        <f>'SC-2'!C4</f>
        <v>14.1</v>
      </c>
      <c r="G3" s="25">
        <f>WG!C4</f>
        <v>24.6</v>
      </c>
      <c r="H3" s="25">
        <f>DT!C4</f>
        <v>1.06</v>
      </c>
      <c r="J3" s="90"/>
      <c r="K3" s="2" t="s">
        <v>42</v>
      </c>
      <c r="L3" s="2" t="s">
        <v>41</v>
      </c>
      <c r="M3" s="2" t="s">
        <v>42</v>
      </c>
      <c r="N3" s="2" t="s">
        <v>41</v>
      </c>
      <c r="O3" s="2" t="s">
        <v>42</v>
      </c>
      <c r="P3" s="2" t="s">
        <v>41</v>
      </c>
      <c r="Q3" s="2" t="s">
        <v>42</v>
      </c>
      <c r="R3" s="2" t="s">
        <v>41</v>
      </c>
      <c r="S3" s="32" t="s">
        <v>42</v>
      </c>
      <c r="T3" s="32" t="s">
        <v>41</v>
      </c>
      <c r="U3" s="32" t="s">
        <v>42</v>
      </c>
      <c r="V3" s="32" t="s">
        <v>41</v>
      </c>
      <c r="X3" s="16" t="s">
        <v>46</v>
      </c>
      <c r="Y3" s="21">
        <f>SUM(L4*K4^2,L5*K5^2,L6*K6^2,L7*K7^2,L8*K8^2,L9*K9^2,L11*K11^2,L12*K12^2,L10*K10^2,L13*K13^2,L14*K14^2)</f>
        <v>709606.02874999994</v>
      </c>
      <c r="Z3" s="21">
        <f>SUM(N4*M4^2,N5*M5^2,N7*M7^2,N8*M8^2,N9*M9^2,N11*M11^2,N12*M12^2,N6*M6^2,N10*M10^2,N13*M13^2,N14*M14^2)</f>
        <v>705542.78125000012</v>
      </c>
      <c r="AA3" s="21">
        <f>SUM(P4*O4^2,P5*O5^2,P6*O6^2,P7*O7^2,P8*O8^2,P9*O9^2,P11*O11^2,P12*O12^2,P10*O10^2,P13*O13^2,P14*O14^2)</f>
        <v>12589.7775</v>
      </c>
      <c r="AB3" s="17">
        <f>SUM(R4*Q4^2,R5*Q5^2,R7*Q7^2,R8*Q8^2,R9*Q9^2,R11*Q11^2,R12*Q12^2,R6*Q6^2,R10*Q10^2,R13*Q13^2,R14*Q14^2)</f>
        <v>14581.369999999999</v>
      </c>
      <c r="AC3" s="17">
        <f>SUM(T4*S4^2,T5*S5^2,T7*S7^2,T8*S8^2,T9*S9^2,T11*S11^2,T12*S12^2,T6*S6^2,T10*S10^2,T13*S13^2,T14*S14^2)</f>
        <v>52897.106250000004</v>
      </c>
      <c r="AD3" s="17">
        <f>SUM(V4*U4^2,V5*U5^2,V7*U7^2,V8*U8^2,V9*U9^2,V11*U11^2,V12*U12^2,V6*U6^2,V10*U10^2,V13*U13^2,V14*U14^2)</f>
        <v>74.386018375000006</v>
      </c>
      <c r="AG3" s="2" t="s">
        <v>35</v>
      </c>
      <c r="AH3" s="2" t="s">
        <v>36</v>
      </c>
      <c r="AI3" s="2" t="s">
        <v>37</v>
      </c>
      <c r="AJ3" s="2" t="s">
        <v>38</v>
      </c>
      <c r="AK3" s="2" t="s">
        <v>178</v>
      </c>
      <c r="AL3" s="2" t="s">
        <v>179</v>
      </c>
    </row>
    <row r="4" spans="1:38" x14ac:dyDescent="0.35">
      <c r="A4" s="2">
        <v>1</v>
      </c>
      <c r="B4" s="93"/>
      <c r="C4" s="8">
        <f>'TC-1'!C5</f>
        <v>86.4</v>
      </c>
      <c r="D4" s="8">
        <f>'TC-2'!C5</f>
        <v>88.1</v>
      </c>
      <c r="E4" s="8">
        <f>'SC-1'!C5</f>
        <v>11.9</v>
      </c>
      <c r="F4" s="8">
        <f>'SC-2'!C5</f>
        <v>14</v>
      </c>
      <c r="G4" s="25">
        <f>WG!C5</f>
        <v>24.5</v>
      </c>
      <c r="H4" s="25">
        <f>DT!C5</f>
        <v>1.05</v>
      </c>
      <c r="J4" s="2">
        <v>1</v>
      </c>
      <c r="K4" s="29">
        <f>AVERAGE(C$3:C$10)</f>
        <v>88.05</v>
      </c>
      <c r="L4" s="2">
        <v>8</v>
      </c>
      <c r="M4" s="6">
        <f>AVERAGE(D$3:D$10)</f>
        <v>88.75</v>
      </c>
      <c r="N4" s="2">
        <v>8</v>
      </c>
      <c r="O4" s="6">
        <f>AVERAGE(E$3:E$10)</f>
        <v>11.974999999999998</v>
      </c>
      <c r="P4" s="2">
        <v>8</v>
      </c>
      <c r="Q4" s="64">
        <f>AVERAGE(F$3:F$10)</f>
        <v>13.95</v>
      </c>
      <c r="R4" s="2">
        <v>8</v>
      </c>
      <c r="S4" s="6">
        <f>AVERAGE(G$3:G$10)</f>
        <v>24.337500000000002</v>
      </c>
      <c r="T4" s="32">
        <v>8</v>
      </c>
      <c r="U4" s="6">
        <f>AVERAGE(H$3:H$10)</f>
        <v>1.0153750000000001</v>
      </c>
      <c r="V4" s="32">
        <v>8</v>
      </c>
      <c r="W4" s="6"/>
      <c r="X4" s="16" t="s">
        <v>47</v>
      </c>
      <c r="Y4" s="21">
        <f>SUM(L4:L14)</f>
        <v>88</v>
      </c>
      <c r="Z4" s="21">
        <f>SUM(N4:N14)</f>
        <v>88</v>
      </c>
      <c r="AA4" s="21">
        <f>SUM(P4:P14)</f>
        <v>88</v>
      </c>
      <c r="AB4" s="17">
        <f>SUM(R4:R14)</f>
        <v>88</v>
      </c>
      <c r="AC4" s="54">
        <f>SUM(T4:T14)</f>
        <v>88</v>
      </c>
      <c r="AD4" s="54">
        <f>SUM(V4:V14)</f>
        <v>88</v>
      </c>
      <c r="AF4" s="2" t="s">
        <v>65</v>
      </c>
      <c r="AG4" s="6">
        <f>MIN(K4:K14)</f>
        <v>85.5625</v>
      </c>
      <c r="AH4" s="6">
        <f>MIN(M4:M14)</f>
        <v>85.75</v>
      </c>
      <c r="AI4" s="6">
        <f>MIN(O4:O14)</f>
        <v>11.637499999999999</v>
      </c>
      <c r="AJ4" s="6">
        <f>MIN(Q4:Q14)</f>
        <v>12.450000000000001</v>
      </c>
      <c r="AK4" s="6">
        <f>MIN(S4:S14)</f>
        <v>24.037499999999998</v>
      </c>
      <c r="AL4" s="6">
        <f>MIN(U4:U14)</f>
        <v>0.27050000000000002</v>
      </c>
    </row>
    <row r="5" spans="1:38" x14ac:dyDescent="0.35">
      <c r="A5" s="2">
        <v>1</v>
      </c>
      <c r="B5" s="93"/>
      <c r="C5" s="8">
        <f>'TC-1'!C6</f>
        <v>87.5</v>
      </c>
      <c r="D5" s="8">
        <f>'TC-2'!C6</f>
        <v>89.4</v>
      </c>
      <c r="E5" s="8">
        <f>'SC-1'!C6</f>
        <v>11.9</v>
      </c>
      <c r="F5" s="8">
        <f>'SC-2'!C6</f>
        <v>14.4</v>
      </c>
      <c r="G5" s="25">
        <f>WG!C6</f>
        <v>24.6</v>
      </c>
      <c r="H5" s="25">
        <f>DT!C6</f>
        <v>1.04</v>
      </c>
      <c r="J5" s="2">
        <v>2</v>
      </c>
      <c r="K5" s="29">
        <f>AVERAGE(C$11:C$18)</f>
        <v>89.65</v>
      </c>
      <c r="L5" s="2">
        <v>8</v>
      </c>
      <c r="M5" s="6">
        <f>AVERAGE(D$11:D$18)</f>
        <v>89.987499999999997</v>
      </c>
      <c r="N5" s="2">
        <v>8</v>
      </c>
      <c r="O5" s="6">
        <f>AVERAGE(E$11:E$18)</f>
        <v>12.0375</v>
      </c>
      <c r="P5" s="2">
        <v>8</v>
      </c>
      <c r="Q5" s="6">
        <f>AVERAGE(F$11:F$18)</f>
        <v>12.6875</v>
      </c>
      <c r="R5" s="2">
        <v>8</v>
      </c>
      <c r="S5" s="6">
        <f>AVERAGE(G$11:G$18)</f>
        <v>24.3125</v>
      </c>
      <c r="T5" s="32">
        <v>8</v>
      </c>
      <c r="U5" s="6">
        <f>AVERAGE(H$11:H$18)</f>
        <v>0.98587499999999995</v>
      </c>
      <c r="V5" s="32">
        <v>8</v>
      </c>
      <c r="X5" s="16" t="s">
        <v>48</v>
      </c>
      <c r="Y5" s="21">
        <f>SUMSQ(L4:L14)</f>
        <v>704</v>
      </c>
      <c r="Z5" s="21">
        <f>SUMSQ(N4:N14)</f>
        <v>704</v>
      </c>
      <c r="AA5" s="21">
        <f>SUMSQ(P4:P14)</f>
        <v>704</v>
      </c>
      <c r="AB5" s="17">
        <f>SUMSQ(R4:R14)</f>
        <v>704</v>
      </c>
      <c r="AC5" s="17">
        <f>SUMSQ(T4:T14)</f>
        <v>704</v>
      </c>
      <c r="AD5" s="17">
        <f>SUMSQ(V4:V14)</f>
        <v>704</v>
      </c>
      <c r="AF5" s="2" t="s">
        <v>66</v>
      </c>
      <c r="AG5" s="6">
        <f>MAX(K4:K14)</f>
        <v>94.174999999999997</v>
      </c>
      <c r="AH5" s="6">
        <f>MAX(M4:M14)</f>
        <v>92.575000000000003</v>
      </c>
      <c r="AI5" s="6">
        <f>MAX(O4:O14)</f>
        <v>12.250000000000002</v>
      </c>
      <c r="AJ5" s="6">
        <f>MAX(Q4:Q14)</f>
        <v>13.95</v>
      </c>
      <c r="AK5" s="6">
        <f>MAX(S4:S14)</f>
        <v>25.162500000000001</v>
      </c>
      <c r="AL5" s="6">
        <f>MAX(U4:U14)</f>
        <v>1.0153750000000001</v>
      </c>
    </row>
    <row r="6" spans="1:38" ht="16.5" x14ac:dyDescent="0.35">
      <c r="A6" s="2">
        <v>1</v>
      </c>
      <c r="B6" s="93"/>
      <c r="C6" s="8">
        <f>'TC-1'!C7</f>
        <v>87.9</v>
      </c>
      <c r="D6" s="8">
        <f>'TC-2'!C7</f>
        <v>89.4</v>
      </c>
      <c r="E6" s="8">
        <f>'SC-1'!C7</f>
        <v>11.9</v>
      </c>
      <c r="F6" s="8">
        <f>'SC-2'!C7</f>
        <v>14.4</v>
      </c>
      <c r="G6" s="25">
        <f>WG!C7</f>
        <v>24.6</v>
      </c>
      <c r="H6" s="25">
        <f>DT!C7</f>
        <v>1.04</v>
      </c>
      <c r="J6" s="2">
        <v>3</v>
      </c>
      <c r="K6" s="29">
        <f>AVERAGE(C$19:C$26)</f>
        <v>94.174999999999997</v>
      </c>
      <c r="L6" s="2">
        <v>8</v>
      </c>
      <c r="M6" s="6">
        <f>AVERAGE(D$19:D$26)</f>
        <v>92.575000000000003</v>
      </c>
      <c r="N6" s="2">
        <v>8</v>
      </c>
      <c r="O6" s="6">
        <f>AVERAGE(E$19:E$26)</f>
        <v>12.1875</v>
      </c>
      <c r="P6" s="2">
        <v>8</v>
      </c>
      <c r="Q6" s="6">
        <f>AVERAGE(F$19:F$26)</f>
        <v>12.850000000000001</v>
      </c>
      <c r="R6" s="2">
        <v>8</v>
      </c>
      <c r="S6" s="6">
        <f>AVERAGE(G$19:G$26)</f>
        <v>25.012499999999999</v>
      </c>
      <c r="T6" s="32">
        <v>8</v>
      </c>
      <c r="U6" s="6">
        <f>AVERAGE(H$19:H$26)</f>
        <v>0.96074999999999988</v>
      </c>
      <c r="V6" s="32">
        <v>8</v>
      </c>
      <c r="X6" s="16" t="s">
        <v>49</v>
      </c>
      <c r="Y6" s="21">
        <f>SUM(10*K20^2,10*K21^2,10*K22^2,10*K23^2,10*K24^2,10*K25^2,10*K27^2,10*K28^2,10*K26^2,10*K29^2,10*K30^2)</f>
        <v>106.57321428571423</v>
      </c>
      <c r="Z6" s="21">
        <f>SUM(10*M20^2,10*M21^2,10*M23^2,10*M24^2,10*M25^2,10*M27^2,10*M28^2,10*M22^2,10*M26^2,10*M29^2,10*M30^2)</f>
        <v>380.69821428571447</v>
      </c>
      <c r="AA6" s="21">
        <f>SUM(10*O20^2,10*O21^2,10*O22^2,10*O23^2,10*O24^2,10*O25^2,10*O27^2,10*O28^2,10*O26^2,10*O29^2,10*O30^2)</f>
        <v>6.1464285714285696</v>
      </c>
      <c r="AB6" s="17">
        <f>SUM(10*Q20^2,10*Q21^2,10*Q23^2,10*Q24^2,10*Q25^2,10*Q27^2,10*Q28^2,10*Q22^2,10*Q26^2,10*Q29^2,10*Q30^2)</f>
        <v>5.6714285714285779</v>
      </c>
      <c r="AC6" s="17">
        <f>SUM(10*S20^2,10*S21^2,10*S23^2,10*S24^2,10*S25^2,10*S27^2,10*S28^2,10*S22^2,10*S26^2,10*S29^2,10*S30^2)</f>
        <v>8.0053571428571537</v>
      </c>
      <c r="AD6" s="17">
        <f>SUM(10*U20^2,10*U21^2,10*U23^2,10*U24^2,10*U25^2,10*U27^2,10*U28^2,10*U22^2,10*U26^2,10*U29^2,10*U30^2)</f>
        <v>0.45756089285714191</v>
      </c>
      <c r="AF6" s="2" t="s">
        <v>67</v>
      </c>
      <c r="AG6" s="11">
        <f>(AVERAGE($K$4:$K$14)-AG4)/STDEV($K$4:$K$14)</f>
        <v>2.0213918996955607</v>
      </c>
      <c r="AH6" s="11">
        <f>(AVERAGE($M$4:$M$14)-AH4)/STDEV($M$4:$M$14)</f>
        <v>1.9455662693882319</v>
      </c>
      <c r="AI6" s="11">
        <f>(AVERAGE($O$4:$O$14)-AI4)/STDEV($O$4:$O$14)</f>
        <v>1.4327947716514231</v>
      </c>
      <c r="AJ6" s="11">
        <f>(AVERAGE($Q$4:$Q$14)-AJ4)/STDEV($Q$4:$Q$14)</f>
        <v>0.97397899092767981</v>
      </c>
      <c r="AK6" s="11">
        <f>(AVERAGE($S$4:$S$14)-AK4)/STDEV($S$4:$S$14)</f>
        <v>1.2650453208990813</v>
      </c>
      <c r="AL6" s="11">
        <f>(AVERAGE($U$4:$U$14)-AL4)/STDEV($U$4:$U$14)</f>
        <v>2.9261977255173925</v>
      </c>
    </row>
    <row r="7" spans="1:38" ht="16.5" x14ac:dyDescent="0.35">
      <c r="A7" s="2">
        <v>1</v>
      </c>
      <c r="B7" s="93"/>
      <c r="C7" s="8">
        <f>'TC-1'!C8</f>
        <v>88.8</v>
      </c>
      <c r="D7" s="8">
        <f>'TC-2'!C8</f>
        <v>89.9</v>
      </c>
      <c r="E7" s="8">
        <f>'SC-1'!C8</f>
        <v>12</v>
      </c>
      <c r="F7" s="8">
        <f>'SC-2'!C8</f>
        <v>13.6</v>
      </c>
      <c r="G7" s="25">
        <f>WG!C8</f>
        <v>23.8</v>
      </c>
      <c r="H7" s="25">
        <f>DT!C8</f>
        <v>0.98199999999999998</v>
      </c>
      <c r="J7" s="2">
        <v>4</v>
      </c>
      <c r="K7" s="29">
        <f>AVERAGE(C$27:C$34)</f>
        <v>89.55</v>
      </c>
      <c r="L7" s="2">
        <v>8</v>
      </c>
      <c r="M7" s="6">
        <f>AVERAGE(D$27:D$34)</f>
        <v>88.562500000000014</v>
      </c>
      <c r="N7" s="2">
        <v>8</v>
      </c>
      <c r="O7" s="6">
        <f>AVERAGE(E$27:E$34)</f>
        <v>11.662500000000001</v>
      </c>
      <c r="P7" s="2">
        <v>8</v>
      </c>
      <c r="Q7" s="6">
        <f>AVERAGE(F$27:F$34)</f>
        <v>12.737500000000001</v>
      </c>
      <c r="R7" s="2">
        <v>8</v>
      </c>
      <c r="S7" s="6">
        <f>AVERAGE(G$27:G$34)</f>
        <v>24.037499999999998</v>
      </c>
      <c r="T7" s="32">
        <v>8</v>
      </c>
      <c r="U7" s="6">
        <f>AVERAGE(H$27:H$34)</f>
        <v>0.96062500000000006</v>
      </c>
      <c r="V7" s="32">
        <v>8</v>
      </c>
      <c r="X7" s="16" t="s">
        <v>51</v>
      </c>
      <c r="Y7" s="66">
        <v>11</v>
      </c>
      <c r="Z7" s="66">
        <v>11</v>
      </c>
      <c r="AA7" s="66">
        <v>11</v>
      </c>
      <c r="AB7" s="67">
        <v>11</v>
      </c>
      <c r="AC7" s="67">
        <v>11</v>
      </c>
      <c r="AD7" s="67">
        <v>11</v>
      </c>
      <c r="AF7" s="2" t="s">
        <v>68</v>
      </c>
      <c r="AG7" s="11">
        <f>ABS((AVERAGE($K$4:$K$14)-AG5)/STDEV($K$4:$K$14))</f>
        <v>2.1102502814782884</v>
      </c>
      <c r="AH7" s="11">
        <f>ABS((AVERAGE($M$4:$M$14)-AH5)/STDEV($M$4:$M$14))</f>
        <v>1.5750938734095079</v>
      </c>
      <c r="AI7" s="11">
        <f>ABS((AVERAGE($O$4:$O$14)-AI5)/STDEV($O$4:$O$14))</f>
        <v>1.2960970372535749</v>
      </c>
      <c r="AJ7" s="11">
        <f>ABS((AVERAGE($Q$4:$Q$14)-AJ5)/STDEV($Q$4:$Q$14))</f>
        <v>2.5387321238934555</v>
      </c>
      <c r="AK7" s="11">
        <f>ABS((AVERAGE($S$4:$S$14)-AK5)/STDEV($S$4:$S$14))</f>
        <v>1.7168472212201951</v>
      </c>
      <c r="AL7" s="11">
        <f>ABS((AVERAGE($U$4:$U$14)-AL5)/STDEV($U$4:$U$14))</f>
        <v>0.55573693619843123</v>
      </c>
    </row>
    <row r="8" spans="1:38" ht="16.5" x14ac:dyDescent="0.35">
      <c r="A8" s="2">
        <v>1</v>
      </c>
      <c r="B8" s="93"/>
      <c r="C8" s="8">
        <f>'TC-1'!C9</f>
        <v>88.8</v>
      </c>
      <c r="D8" s="8">
        <f>'TC-2'!C9</f>
        <v>89.9</v>
      </c>
      <c r="E8" s="8">
        <f>'SC-1'!C9</f>
        <v>12</v>
      </c>
      <c r="F8" s="8">
        <f>'SC-2'!C9</f>
        <v>13.6</v>
      </c>
      <c r="G8" s="25">
        <f>WG!C9</f>
        <v>23.8</v>
      </c>
      <c r="H8" s="25">
        <f>DT!C9</f>
        <v>0.98199999999999998</v>
      </c>
      <c r="J8" s="2">
        <v>5</v>
      </c>
      <c r="K8" s="29">
        <f>AVERAGE(C$35:C$42)</f>
        <v>91.174999999999983</v>
      </c>
      <c r="L8" s="2">
        <v>8</v>
      </c>
      <c r="M8" s="6">
        <f>AVERAGE(D$35:D$42)</f>
        <v>90.975000000000009</v>
      </c>
      <c r="N8" s="2">
        <v>8</v>
      </c>
      <c r="O8" s="6">
        <f>AVERAGE(E$35:E$42)</f>
        <v>11.637499999999999</v>
      </c>
      <c r="P8" s="2">
        <v>8</v>
      </c>
      <c r="Q8" s="6">
        <f>AVERAGE(F$35:F$42)</f>
        <v>12.450000000000001</v>
      </c>
      <c r="R8" s="2">
        <v>8</v>
      </c>
      <c r="S8" s="6">
        <f>AVERAGE(G$35:G$42)</f>
        <v>24.362500000000001</v>
      </c>
      <c r="T8" s="32">
        <v>8</v>
      </c>
      <c r="U8" s="6">
        <f>AVERAGE(H$35:H$42)</f>
        <v>0.86587500000000006</v>
      </c>
      <c r="V8" s="32">
        <v>8</v>
      </c>
      <c r="X8" s="16" t="s">
        <v>50</v>
      </c>
      <c r="Y8" s="22">
        <f t="shared" ref="Y8:AD8" si="0">Y6/(Y4-Y7)</f>
        <v>1.3840677179962886</v>
      </c>
      <c r="Z8" s="22">
        <f t="shared" si="0"/>
        <v>4.9441326530612271</v>
      </c>
      <c r="AA8" s="22">
        <f t="shared" si="0"/>
        <v>7.9823747680890511E-2</v>
      </c>
      <c r="AB8" s="18">
        <f t="shared" si="0"/>
        <v>7.3654916512059451E-2</v>
      </c>
      <c r="AC8" s="18">
        <f t="shared" si="0"/>
        <v>0.10396567717996304</v>
      </c>
      <c r="AD8" s="18">
        <f t="shared" si="0"/>
        <v>5.9423492578849595E-3</v>
      </c>
    </row>
    <row r="9" spans="1:38" ht="16.5" x14ac:dyDescent="0.35">
      <c r="A9" s="2">
        <v>1</v>
      </c>
      <c r="B9" s="93"/>
      <c r="C9" s="8">
        <f>'TC-1'!C10</f>
        <v>89</v>
      </c>
      <c r="D9" s="8">
        <f>'TC-2'!C10</f>
        <v>87.2</v>
      </c>
      <c r="E9" s="8">
        <f>'SC-1'!C10</f>
        <v>12.1</v>
      </c>
      <c r="F9" s="8">
        <f>'SC-2'!C10</f>
        <v>13.8</v>
      </c>
      <c r="G9" s="25">
        <f>WG!C10</f>
        <v>24.4</v>
      </c>
      <c r="H9" s="25">
        <f>DT!C10</f>
        <v>0.98299999999999998</v>
      </c>
      <c r="J9" s="2">
        <v>6</v>
      </c>
      <c r="K9" s="29">
        <f>AVERAGE(C$43:C$50)</f>
        <v>88.975000000000009</v>
      </c>
      <c r="L9" s="2">
        <v>8</v>
      </c>
      <c r="M9" s="6">
        <f>AVERAGE(D$43:D$50)</f>
        <v>88.562500000000014</v>
      </c>
      <c r="N9" s="2">
        <v>8</v>
      </c>
      <c r="O9" s="6">
        <f>AVERAGE(E$43:E$50)</f>
        <v>11.662500000000001</v>
      </c>
      <c r="P9" s="2">
        <v>8</v>
      </c>
      <c r="Q9" s="6">
        <f>AVERAGE(F$43:F$50)</f>
        <v>12.737500000000001</v>
      </c>
      <c r="R9" s="2">
        <v>8</v>
      </c>
      <c r="S9" s="6">
        <f>AVERAGE(G$43:G$50)</f>
        <v>24.037499999999998</v>
      </c>
      <c r="T9" s="32">
        <v>8</v>
      </c>
      <c r="U9" s="6">
        <f>AVERAGE(H$43:H$50)</f>
        <v>0.96062500000000006</v>
      </c>
      <c r="V9" s="32">
        <v>8</v>
      </c>
      <c r="X9" s="16" t="s">
        <v>52</v>
      </c>
      <c r="Y9" s="22">
        <f t="shared" ref="Y9:AD9" si="1">(Y15/Y16-Y8)*(Y16/Y17)</f>
        <v>4.1722244897945213</v>
      </c>
      <c r="Z9" s="22">
        <f t="shared" si="1"/>
        <v>3.1399862592758869</v>
      </c>
      <c r="AA9" s="22">
        <f t="shared" si="1"/>
        <v>4.0399872448934615E-2</v>
      </c>
      <c r="AB9" s="18">
        <f t="shared" si="1"/>
        <v>0.17313972634504643</v>
      </c>
      <c r="AC9" s="18">
        <f t="shared" si="1"/>
        <v>0.12934235853452916</v>
      </c>
      <c r="AD9" s="18">
        <f t="shared" si="1"/>
        <v>4.5021373388218933E-2</v>
      </c>
      <c r="AG9" s="2" t="s">
        <v>74</v>
      </c>
      <c r="AH9" s="6" t="s">
        <v>75</v>
      </c>
      <c r="AI9" s="6"/>
      <c r="AJ9" s="6"/>
    </row>
    <row r="10" spans="1:38" ht="16.5" x14ac:dyDescent="0.35">
      <c r="A10" s="2">
        <v>1</v>
      </c>
      <c r="B10" s="93"/>
      <c r="C10" s="25">
        <f>'TC-1'!C11</f>
        <v>88.9</v>
      </c>
      <c r="D10" s="25">
        <f>'TC-2'!C11</f>
        <v>87</v>
      </c>
      <c r="E10" s="25">
        <f>'SC-1'!C11</f>
        <v>12.1</v>
      </c>
      <c r="F10" s="25">
        <f>'SC-2'!C11</f>
        <v>13.7</v>
      </c>
      <c r="G10" s="25">
        <f>WG!C11</f>
        <v>24.4</v>
      </c>
      <c r="H10" s="25">
        <f>DT!C11</f>
        <v>0.98599999999999999</v>
      </c>
      <c r="J10" s="2">
        <v>7</v>
      </c>
      <c r="K10" s="29">
        <f>AVERAGE(C$51:C$58)</f>
        <v>89.887500000000003</v>
      </c>
      <c r="L10" s="2">
        <v>8</v>
      </c>
      <c r="M10" s="6">
        <f>AVERAGE(D$51:D$58)</f>
        <v>87.375</v>
      </c>
      <c r="N10" s="2">
        <v>8</v>
      </c>
      <c r="O10" s="6">
        <f>AVERAGE(E$51:E$58)</f>
        <v>11.874999999999998</v>
      </c>
      <c r="P10" s="2">
        <v>8</v>
      </c>
      <c r="Q10" s="6">
        <f>AVERAGE(F$51:F$58)</f>
        <v>12.625</v>
      </c>
      <c r="R10" s="2">
        <v>8</v>
      </c>
      <c r="S10" s="6">
        <f>AVERAGE(G$51:G$58)</f>
        <v>24.737500000000001</v>
      </c>
      <c r="T10" s="32">
        <v>8</v>
      </c>
      <c r="U10" s="6">
        <f>AVERAGE(H$51:H$58)</f>
        <v>0.98487500000000006</v>
      </c>
      <c r="V10" s="32">
        <v>8</v>
      </c>
      <c r="X10" s="16" t="s">
        <v>56</v>
      </c>
      <c r="Y10" s="22">
        <f t="shared" ref="Y10:AD10" si="2">Y8+Y9</f>
        <v>5.5562922077908095</v>
      </c>
      <c r="Z10" s="22">
        <f t="shared" si="2"/>
        <v>8.0841189123371144</v>
      </c>
      <c r="AA10" s="22">
        <f t="shared" si="2"/>
        <v>0.12022362012982513</v>
      </c>
      <c r="AB10" s="18">
        <f t="shared" si="2"/>
        <v>0.24679464285710589</v>
      </c>
      <c r="AC10" s="18">
        <f t="shared" si="2"/>
        <v>0.23330803571449221</v>
      </c>
      <c r="AD10" s="18">
        <f t="shared" si="2"/>
        <v>5.0963722646103896E-2</v>
      </c>
      <c r="AF10" s="2" t="s">
        <v>35</v>
      </c>
      <c r="AG10" s="2">
        <v>89.9</v>
      </c>
      <c r="AH10" s="80">
        <v>85.8</v>
      </c>
    </row>
    <row r="11" spans="1:38" x14ac:dyDescent="0.35">
      <c r="A11" s="2">
        <v>2</v>
      </c>
      <c r="B11" s="89">
        <v>2</v>
      </c>
      <c r="C11" s="25">
        <f>'TC-1'!D4</f>
        <v>89.3</v>
      </c>
      <c r="D11" s="25">
        <f>'TC-2'!D4</f>
        <v>89</v>
      </c>
      <c r="E11" s="25">
        <f>'SC-1'!D4</f>
        <v>11.9</v>
      </c>
      <c r="F11" s="25">
        <f>'SC-2'!D4</f>
        <v>12.7</v>
      </c>
      <c r="G11" s="25">
        <f>WG!D4</f>
        <v>24.3</v>
      </c>
      <c r="H11" s="25">
        <f>DT!D4</f>
        <v>0.96099999999999997</v>
      </c>
      <c r="J11" s="9">
        <v>8</v>
      </c>
      <c r="K11" s="29">
        <f>AVERAGE(C$59:C$66)</f>
        <v>89.862499999999997</v>
      </c>
      <c r="L11" s="2">
        <v>8</v>
      </c>
      <c r="M11" s="6">
        <f>AVERAGE(D$59:D$66)</f>
        <v>90.462499999999991</v>
      </c>
      <c r="N11" s="2">
        <v>8</v>
      </c>
      <c r="O11" s="6">
        <f>AVERAGE(E$59:E$66)</f>
        <v>12.05</v>
      </c>
      <c r="P11" s="2">
        <v>8</v>
      </c>
      <c r="Q11" s="6">
        <f>AVERAGE(F$59:F$66)</f>
        <v>12.674999999999999</v>
      </c>
      <c r="R11" s="2">
        <v>8</v>
      </c>
      <c r="S11" s="6">
        <f>AVERAGE(G$59:G$66)</f>
        <v>24.237499999999997</v>
      </c>
      <c r="T11" s="32">
        <v>8</v>
      </c>
      <c r="U11" s="6">
        <f>AVERAGE(H$59:H$66)</f>
        <v>0.85925000000000007</v>
      </c>
      <c r="V11" s="32">
        <v>8</v>
      </c>
      <c r="X11" s="16" t="s">
        <v>57</v>
      </c>
      <c r="Y11" s="22">
        <f t="shared" ref="Y11:AD11" si="3">Y2/Y4</f>
        <v>89.776136363636368</v>
      </c>
      <c r="Z11" s="22">
        <f t="shared" si="3"/>
        <v>89.521590909090918</v>
      </c>
      <c r="AA11" s="22">
        <f t="shared" si="3"/>
        <v>11.959090909090911</v>
      </c>
      <c r="AB11" s="18">
        <f t="shared" si="3"/>
        <v>12.865909090909092</v>
      </c>
      <c r="AC11" s="55">
        <f t="shared" si="3"/>
        <v>24.514772727272724</v>
      </c>
      <c r="AD11" s="55">
        <f t="shared" si="3"/>
        <v>0.8964886363636364</v>
      </c>
      <c r="AF11" s="2" t="s">
        <v>36</v>
      </c>
      <c r="AG11" s="2">
        <v>88.7</v>
      </c>
      <c r="AH11" s="80"/>
    </row>
    <row r="12" spans="1:38" ht="16.5" x14ac:dyDescent="0.35">
      <c r="A12" s="2">
        <v>2</v>
      </c>
      <c r="B12" s="94"/>
      <c r="C12" s="25">
        <f>'TC-1'!D5</f>
        <v>89</v>
      </c>
      <c r="D12" s="25">
        <f>'TC-2'!D5</f>
        <v>89.1</v>
      </c>
      <c r="E12" s="25">
        <f>'SC-1'!D5</f>
        <v>12.2</v>
      </c>
      <c r="F12" s="25">
        <f>'SC-2'!D5</f>
        <v>12.7</v>
      </c>
      <c r="G12" s="25">
        <f>WG!D5</f>
        <v>24.3</v>
      </c>
      <c r="H12" s="25">
        <f>DT!D5</f>
        <v>0.97099999999999997</v>
      </c>
      <c r="J12" s="9">
        <v>9</v>
      </c>
      <c r="K12" s="29">
        <f>AVERAGE(C$67:C$74)</f>
        <v>90.125000000000014</v>
      </c>
      <c r="L12" s="2">
        <v>8</v>
      </c>
      <c r="M12" s="6">
        <f>AVERAGE(D$67:D$74)</f>
        <v>90.6</v>
      </c>
      <c r="N12" s="2">
        <v>8</v>
      </c>
      <c r="O12" s="6">
        <f>AVERAGE(E$67:E$74)</f>
        <v>12.2125</v>
      </c>
      <c r="P12" s="2">
        <v>8</v>
      </c>
      <c r="Q12" s="6">
        <f>AVERAGE(F$67:F$74)</f>
        <v>13.074999999999999</v>
      </c>
      <c r="R12" s="2">
        <v>8</v>
      </c>
      <c r="S12" s="6">
        <f>AVERAGE(G$67:G$74)</f>
        <v>24.700000000000003</v>
      </c>
      <c r="T12" s="32">
        <v>8</v>
      </c>
      <c r="U12" s="6">
        <f>AVERAGE(H$67:H$74)</f>
        <v>1.0093749999999999</v>
      </c>
      <c r="V12" s="32">
        <v>8</v>
      </c>
      <c r="X12" s="16" t="s">
        <v>58</v>
      </c>
      <c r="Y12" s="22">
        <f t="shared" ref="Y12:AD12" si="4">SQRT(Y8)</f>
        <v>1.1764640742480361</v>
      </c>
      <c r="Z12" s="22">
        <f t="shared" si="4"/>
        <v>2.2235405669924773</v>
      </c>
      <c r="AA12" s="22">
        <f t="shared" si="4"/>
        <v>0.28253096764937202</v>
      </c>
      <c r="AB12" s="18">
        <f t="shared" si="4"/>
        <v>0.27139439292671369</v>
      </c>
      <c r="AC12" s="18">
        <f t="shared" si="4"/>
        <v>0.32243709026717604</v>
      </c>
      <c r="AD12" s="18">
        <f t="shared" si="4"/>
        <v>7.7086634755221733E-2</v>
      </c>
      <c r="AF12" s="2" t="s">
        <v>37</v>
      </c>
      <c r="AG12" s="2">
        <v>11.8</v>
      </c>
      <c r="AH12" s="80">
        <v>11.7</v>
      </c>
    </row>
    <row r="13" spans="1:38" ht="16.5" x14ac:dyDescent="0.35">
      <c r="A13" s="2">
        <v>2</v>
      </c>
      <c r="B13" s="94"/>
      <c r="C13" s="25">
        <f>'TC-1'!D6</f>
        <v>89.1</v>
      </c>
      <c r="D13" s="25">
        <f>'TC-2'!D6</f>
        <v>90.5</v>
      </c>
      <c r="E13" s="25">
        <f>'SC-1'!D6</f>
        <v>11.9</v>
      </c>
      <c r="F13" s="25">
        <f>'SC-2'!D6</f>
        <v>12.7</v>
      </c>
      <c r="G13" s="25">
        <f>WG!D6</f>
        <v>24.3</v>
      </c>
      <c r="H13" s="25">
        <f>DT!D6</f>
        <v>0.98599999999999999</v>
      </c>
      <c r="J13" s="9">
        <v>10</v>
      </c>
      <c r="K13" s="29">
        <f>AVERAGE(C$75:C$82)</f>
        <v>90.525000000000006</v>
      </c>
      <c r="L13" s="32">
        <v>8</v>
      </c>
      <c r="M13" s="6">
        <f>AVERAGE(D$75:D$82)</f>
        <v>91.137500000000017</v>
      </c>
      <c r="N13" s="32">
        <v>8</v>
      </c>
      <c r="O13" s="6">
        <f>AVERAGE(E$75:E$82)</f>
        <v>12.250000000000002</v>
      </c>
      <c r="P13" s="32">
        <v>8</v>
      </c>
      <c r="Q13" s="6">
        <f>AVERAGE(F$75:F$82)</f>
        <v>13.237500000000001</v>
      </c>
      <c r="R13" s="32">
        <v>8</v>
      </c>
      <c r="S13" s="6">
        <f>AVERAGE(G$75:G$82)</f>
        <v>24.724999999999998</v>
      </c>
      <c r="T13" s="32">
        <v>8</v>
      </c>
      <c r="U13" s="64">
        <f>AVERAGE(H$75:H$82)</f>
        <v>0.98824999999999996</v>
      </c>
      <c r="V13" s="63">
        <v>8</v>
      </c>
      <c r="X13" s="19" t="s">
        <v>59</v>
      </c>
      <c r="Y13" s="23">
        <f t="shared" ref="Y13:AD13" si="5">SQRT(Y10)</f>
        <v>2.3571788663126116</v>
      </c>
      <c r="Z13" s="23">
        <f t="shared" si="5"/>
        <v>2.8432585025525055</v>
      </c>
      <c r="AA13" s="23">
        <f t="shared" si="5"/>
        <v>0.34673277913953438</v>
      </c>
      <c r="AB13" s="20">
        <f t="shared" si="5"/>
        <v>0.49678430214440744</v>
      </c>
      <c r="AC13" s="20">
        <f t="shared" si="5"/>
        <v>0.48301970530661814</v>
      </c>
      <c r="AD13" s="20">
        <f t="shared" si="5"/>
        <v>0.22575146211288177</v>
      </c>
      <c r="AF13" s="2" t="s">
        <v>38</v>
      </c>
      <c r="AG13" s="2">
        <v>12.3</v>
      </c>
      <c r="AH13" s="80"/>
    </row>
    <row r="14" spans="1:38" x14ac:dyDescent="0.35">
      <c r="A14" s="2">
        <v>2</v>
      </c>
      <c r="B14" s="94"/>
      <c r="C14" s="25">
        <f>'TC-1'!D7</f>
        <v>88.6</v>
      </c>
      <c r="D14" s="25">
        <f>'TC-2'!D7</f>
        <v>89.2</v>
      </c>
      <c r="E14" s="25">
        <f>'SC-1'!D7</f>
        <v>11.9</v>
      </c>
      <c r="F14" s="25">
        <f>'SC-2'!D7</f>
        <v>12.7</v>
      </c>
      <c r="G14" s="25">
        <f>WG!D7</f>
        <v>24.2</v>
      </c>
      <c r="H14" s="25">
        <f>DT!D7</f>
        <v>0.98399999999999999</v>
      </c>
      <c r="J14" s="9">
        <v>11</v>
      </c>
      <c r="K14" s="29">
        <f>AVERAGE(C$83:C$90)</f>
        <v>85.5625</v>
      </c>
      <c r="L14" s="32">
        <v>8</v>
      </c>
      <c r="M14" s="6">
        <f>AVERAGE(D$83:D$90)</f>
        <v>85.75</v>
      </c>
      <c r="N14" s="32">
        <v>8</v>
      </c>
      <c r="O14" s="6">
        <f>AVERAGE(E$83:E$90)</f>
        <v>12</v>
      </c>
      <c r="P14" s="32">
        <v>8</v>
      </c>
      <c r="Q14" s="6">
        <f>AVERAGE(F$83:F$90)</f>
        <v>12.5</v>
      </c>
      <c r="R14" s="32">
        <v>8</v>
      </c>
      <c r="S14" s="6">
        <f>AVERAGE(G$83:G$90)</f>
        <v>25.162500000000001</v>
      </c>
      <c r="T14" s="32">
        <v>8</v>
      </c>
      <c r="U14" s="64">
        <f>AVERAGE(H$83:H$90)</f>
        <v>0.27050000000000002</v>
      </c>
      <c r="V14" s="63">
        <v>8</v>
      </c>
      <c r="X14"/>
      <c r="Y14"/>
      <c r="Z14"/>
      <c r="AA14"/>
      <c r="AB14"/>
      <c r="AC14"/>
      <c r="AD14"/>
      <c r="AF14" s="32" t="s">
        <v>178</v>
      </c>
      <c r="AG14" s="61"/>
      <c r="AH14" s="29">
        <v>25</v>
      </c>
      <c r="AI14" s="32"/>
      <c r="AJ14" s="32"/>
      <c r="AK14" s="32"/>
      <c r="AL14" s="32"/>
    </row>
    <row r="15" spans="1:38" x14ac:dyDescent="0.35">
      <c r="A15" s="2">
        <v>2</v>
      </c>
      <c r="B15" s="94"/>
      <c r="C15" s="25">
        <f>'TC-1'!D8</f>
        <v>90.4</v>
      </c>
      <c r="D15" s="25">
        <f>'TC-2'!D8</f>
        <v>90.8</v>
      </c>
      <c r="E15" s="25">
        <f>'SC-1'!D8</f>
        <v>12.2</v>
      </c>
      <c r="F15" s="25">
        <f>'SC-2'!D8</f>
        <v>12.6</v>
      </c>
      <c r="G15" s="25">
        <f>WG!D8</f>
        <v>24.3</v>
      </c>
      <c r="H15" s="25">
        <f>DT!D8</f>
        <v>1.01</v>
      </c>
      <c r="J15" s="9"/>
      <c r="K15" s="6"/>
      <c r="L15" s="32"/>
      <c r="M15" s="6"/>
      <c r="N15" s="32"/>
      <c r="O15" s="6"/>
      <c r="P15" s="32"/>
      <c r="Q15" s="6"/>
      <c r="R15" s="32"/>
      <c r="X15" t="s">
        <v>53</v>
      </c>
      <c r="Y15">
        <f t="shared" ref="Y15:AD15" si="6">Y3*Y4-Y2^2</f>
        <v>30590.439999990165</v>
      </c>
      <c r="Z15">
        <f t="shared" si="6"/>
        <v>26456.339999996126</v>
      </c>
      <c r="AA15">
        <f t="shared" si="6"/>
        <v>354.65999999968335</v>
      </c>
      <c r="AB15">
        <f t="shared" si="6"/>
        <v>1283.7199999997392</v>
      </c>
      <c r="AC15">
        <f t="shared" si="6"/>
        <v>1002.0600000014529</v>
      </c>
      <c r="AD15">
        <f t="shared" si="6"/>
        <v>322.17973600000005</v>
      </c>
      <c r="AF15" s="32" t="s">
        <v>179</v>
      </c>
      <c r="AG15" s="6">
        <v>1</v>
      </c>
      <c r="AH15" s="6">
        <v>1</v>
      </c>
      <c r="AI15" s="32"/>
      <c r="AJ15" s="32"/>
      <c r="AK15" s="32"/>
      <c r="AL15" s="32"/>
    </row>
    <row r="16" spans="1:38" x14ac:dyDescent="0.35">
      <c r="A16" s="2">
        <v>2</v>
      </c>
      <c r="B16" s="94"/>
      <c r="C16" s="25">
        <f>'TC-1'!D9</f>
        <v>90.1</v>
      </c>
      <c r="D16" s="25">
        <f>'TC-2'!D9</f>
        <v>90.6</v>
      </c>
      <c r="E16" s="25">
        <f>'SC-1'!D9</f>
        <v>12.2</v>
      </c>
      <c r="F16" s="25">
        <f>'SC-2'!D9</f>
        <v>12.7</v>
      </c>
      <c r="G16" s="25">
        <f>WG!D9</f>
        <v>24.2</v>
      </c>
      <c r="H16" s="25">
        <f>DT!D9</f>
        <v>1</v>
      </c>
      <c r="X16" t="s">
        <v>54</v>
      </c>
      <c r="Y16">
        <f t="shared" ref="Y16:AD16" si="7">Y4*(Y7-1)</f>
        <v>880</v>
      </c>
      <c r="Z16">
        <f t="shared" si="7"/>
        <v>880</v>
      </c>
      <c r="AA16">
        <f t="shared" si="7"/>
        <v>880</v>
      </c>
      <c r="AB16">
        <f t="shared" si="7"/>
        <v>880</v>
      </c>
      <c r="AC16">
        <f t="shared" si="7"/>
        <v>880</v>
      </c>
      <c r="AD16">
        <f t="shared" si="7"/>
        <v>880</v>
      </c>
    </row>
    <row r="17" spans="1:35" x14ac:dyDescent="0.35">
      <c r="A17" s="2">
        <v>2</v>
      </c>
      <c r="B17" s="94"/>
      <c r="C17" s="25">
        <f>'TC-1'!D10</f>
        <v>90.5</v>
      </c>
      <c r="D17" s="25">
        <f>'TC-2'!D10</f>
        <v>90.4</v>
      </c>
      <c r="E17" s="25">
        <f>'SC-1'!D10</f>
        <v>12</v>
      </c>
      <c r="F17" s="25">
        <f>'SC-2'!D10</f>
        <v>12.7</v>
      </c>
      <c r="G17" s="25">
        <f>WG!D10</f>
        <v>24.4</v>
      </c>
      <c r="H17" s="25">
        <f>DT!D10</f>
        <v>0.98599999999999999</v>
      </c>
      <c r="J17" s="10" t="s">
        <v>44</v>
      </c>
      <c r="K17" s="87" t="s">
        <v>39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X17" t="s">
        <v>55</v>
      </c>
      <c r="Y17">
        <f t="shared" ref="Y17:AD17" si="8">Y4^2-Y5</f>
        <v>7040</v>
      </c>
      <c r="Z17">
        <f t="shared" si="8"/>
        <v>7040</v>
      </c>
      <c r="AA17">
        <f t="shared" si="8"/>
        <v>7040</v>
      </c>
      <c r="AB17">
        <f t="shared" si="8"/>
        <v>7040</v>
      </c>
      <c r="AC17" s="58">
        <f t="shared" si="8"/>
        <v>7040</v>
      </c>
      <c r="AD17" s="59">
        <f t="shared" si="8"/>
        <v>7040</v>
      </c>
      <c r="AG17" s="2" t="s">
        <v>71</v>
      </c>
      <c r="AH17" s="2" t="s">
        <v>72</v>
      </c>
      <c r="AI17" s="2" t="s">
        <v>73</v>
      </c>
    </row>
    <row r="18" spans="1:35" ht="15" thickBot="1" x14ac:dyDescent="0.4">
      <c r="A18" s="2">
        <v>2</v>
      </c>
      <c r="B18" s="94"/>
      <c r="C18" s="25">
        <f>'TC-1'!D11</f>
        <v>90.2</v>
      </c>
      <c r="D18" s="25">
        <f>'TC-2'!D11</f>
        <v>90.3</v>
      </c>
      <c r="E18" s="25">
        <f>'SC-1'!D11</f>
        <v>12</v>
      </c>
      <c r="F18" s="25">
        <f>'SC-2'!D11</f>
        <v>12.7</v>
      </c>
      <c r="G18" s="25">
        <f>WG!D11</f>
        <v>24.5</v>
      </c>
      <c r="H18" s="25">
        <f>DT!D11</f>
        <v>0.98899999999999999</v>
      </c>
      <c r="J18" s="89" t="s">
        <v>34</v>
      </c>
      <c r="K18" s="96" t="s">
        <v>35</v>
      </c>
      <c r="L18" s="92"/>
      <c r="M18" s="91" t="s">
        <v>36</v>
      </c>
      <c r="N18" s="92"/>
      <c r="O18" s="91" t="s">
        <v>37</v>
      </c>
      <c r="P18" s="92"/>
      <c r="Q18" s="91" t="s">
        <v>38</v>
      </c>
      <c r="R18" s="92"/>
      <c r="S18" s="91" t="s">
        <v>178</v>
      </c>
      <c r="T18" s="92"/>
      <c r="U18" s="91" t="s">
        <v>179</v>
      </c>
      <c r="V18" s="92"/>
      <c r="AC18" s="71" t="s">
        <v>178</v>
      </c>
      <c r="AD18" s="71" t="s">
        <v>179</v>
      </c>
      <c r="AF18" s="2" t="s">
        <v>35</v>
      </c>
      <c r="AG18" s="6">
        <f>STDEV(K4:K14)/AVERAGE(K4:K14)*100</f>
        <v>2.3219112794924386</v>
      </c>
      <c r="AH18" s="6">
        <f>2^(1-(0.5*LOG(Y11/100)))</f>
        <v>2.0327313306723793</v>
      </c>
      <c r="AI18" s="29">
        <f t="shared" ref="AI18:AI23" si="9">AG18/AH18</f>
        <v>1.1422617659582219</v>
      </c>
    </row>
    <row r="19" spans="1:35" ht="16.5" x14ac:dyDescent="0.35">
      <c r="A19" s="2">
        <v>3</v>
      </c>
      <c r="B19" s="89">
        <v>3</v>
      </c>
      <c r="C19" s="25">
        <f>'TC-1'!E4</f>
        <v>94.4</v>
      </c>
      <c r="D19" s="25">
        <f>'TC-2'!E4</f>
        <v>93.7</v>
      </c>
      <c r="E19" s="25">
        <f>'SC-1'!E4</f>
        <v>12.1</v>
      </c>
      <c r="F19" s="25">
        <f>'SC-2'!E4</f>
        <v>12.7</v>
      </c>
      <c r="G19" s="25">
        <f>WG!E4</f>
        <v>25.3</v>
      </c>
      <c r="H19" s="25">
        <f>DT!E4</f>
        <v>0.97799999999999998</v>
      </c>
      <c r="J19" s="90"/>
      <c r="K19" s="2" t="s">
        <v>40</v>
      </c>
      <c r="L19" s="2" t="s">
        <v>41</v>
      </c>
      <c r="M19" s="2" t="s">
        <v>40</v>
      </c>
      <c r="N19" s="2" t="s">
        <v>41</v>
      </c>
      <c r="O19" s="2" t="s">
        <v>40</v>
      </c>
      <c r="P19" s="2" t="s">
        <v>41</v>
      </c>
      <c r="Q19" s="2" t="s">
        <v>40</v>
      </c>
      <c r="R19" s="2" t="s">
        <v>41</v>
      </c>
      <c r="S19" s="32" t="s">
        <v>40</v>
      </c>
      <c r="T19" s="32" t="s">
        <v>41</v>
      </c>
      <c r="U19" s="32" t="s">
        <v>40</v>
      </c>
      <c r="V19" s="32" t="s">
        <v>41</v>
      </c>
      <c r="X19" s="81" t="s">
        <v>188</v>
      </c>
      <c r="Y19" s="82"/>
      <c r="Z19" s="82"/>
      <c r="AA19" s="82"/>
      <c r="AB19" s="12">
        <f>AVERAGE(Y12:Z12)</f>
        <v>1.7000023206202566</v>
      </c>
      <c r="AC19" s="12">
        <f>AVERAGE(AC12)</f>
        <v>0.32243709026717604</v>
      </c>
      <c r="AD19" s="12">
        <f>AVERAGE(AD12)</f>
        <v>7.7086634755221733E-2</v>
      </c>
      <c r="AF19" s="2" t="s">
        <v>36</v>
      </c>
      <c r="AG19" s="6">
        <f>STDEV(M4:M14)/AVERAGE(M4:M14)*100</f>
        <v>2.1654629646310495</v>
      </c>
      <c r="AH19" s="6">
        <f>2^(1-(0.5*LOG(Z11/100)))</f>
        <v>2.0336002379036171</v>
      </c>
      <c r="AI19" s="29">
        <f t="shared" si="9"/>
        <v>1.0648420098845808</v>
      </c>
    </row>
    <row r="20" spans="1:35" ht="15" customHeight="1" thickBot="1" x14ac:dyDescent="0.4">
      <c r="A20" s="2">
        <v>3</v>
      </c>
      <c r="B20" s="94"/>
      <c r="C20" s="25">
        <f>'TC-1'!E5</f>
        <v>94.6</v>
      </c>
      <c r="D20" s="25">
        <f>'TC-2'!E5</f>
        <v>91.4</v>
      </c>
      <c r="E20" s="25">
        <f>'SC-1'!E5</f>
        <v>12.1</v>
      </c>
      <c r="F20" s="25">
        <f>'SC-2'!E5</f>
        <v>12.7</v>
      </c>
      <c r="G20" s="25">
        <f>WG!E5</f>
        <v>24.6</v>
      </c>
      <c r="H20" s="25">
        <f>DT!E5</f>
        <v>0.95399999999999996</v>
      </c>
      <c r="J20" s="2">
        <v>1</v>
      </c>
      <c r="K20" s="6">
        <f>STDEV(C$3:C$10)</f>
        <v>0.97833678104365251</v>
      </c>
      <c r="L20" s="2">
        <v>8</v>
      </c>
      <c r="M20" s="6">
        <f>STDEV(D$3:D$10)</f>
        <v>1.1649647450214373</v>
      </c>
      <c r="N20" s="2">
        <v>8</v>
      </c>
      <c r="O20" s="6">
        <f>STDEV(E$3:E$10)</f>
        <v>8.8640526042791518E-2</v>
      </c>
      <c r="P20" s="2">
        <v>8</v>
      </c>
      <c r="Q20" s="62">
        <f>STDEV(F$3:F$10)</f>
        <v>0.32950178841916583</v>
      </c>
      <c r="R20" s="2">
        <v>8</v>
      </c>
      <c r="S20" s="6">
        <f>STDEV(G$3:G$10)</f>
        <v>0.34200041771068901</v>
      </c>
      <c r="T20" s="32">
        <v>8</v>
      </c>
      <c r="U20" s="6">
        <f>STDEV(H$3:H$10)</f>
        <v>3.4932332546551474E-2</v>
      </c>
      <c r="V20" s="33">
        <v>8</v>
      </c>
      <c r="X20" s="83" t="s">
        <v>60</v>
      </c>
      <c r="Y20" s="84"/>
      <c r="Z20" s="84"/>
      <c r="AA20" s="84"/>
      <c r="AB20" s="13">
        <f>AVERAGE(Y13:Z13)</f>
        <v>2.6002186844325585</v>
      </c>
      <c r="AC20" s="13">
        <f>AVERAGE(AC13)</f>
        <v>0.48301970530661814</v>
      </c>
      <c r="AD20" s="13">
        <f>AVERAGE(AD13)</f>
        <v>0.22575146211288177</v>
      </c>
      <c r="AF20" s="2" t="s">
        <v>37</v>
      </c>
      <c r="AG20" s="6">
        <f>STDEV(O4:O14)/AVERAGE(O4:O14)*100</f>
        <v>1.8768156147391832</v>
      </c>
      <c r="AH20" s="6">
        <f>2^(1-(0.5*LOG(AA11/100)))</f>
        <v>2.7532792010976954</v>
      </c>
      <c r="AI20" s="29">
        <f t="shared" si="9"/>
        <v>0.68166556228330277</v>
      </c>
    </row>
    <row r="21" spans="1:35" x14ac:dyDescent="0.35">
      <c r="A21" s="2">
        <v>3</v>
      </c>
      <c r="B21" s="94"/>
      <c r="C21" s="25">
        <f>'TC-1'!E6</f>
        <v>95.6</v>
      </c>
      <c r="D21" s="25">
        <f>'TC-2'!E6</f>
        <v>91</v>
      </c>
      <c r="E21" s="25">
        <f>'SC-1'!E6</f>
        <v>12.5</v>
      </c>
      <c r="F21" s="25">
        <f>'SC-2'!E6</f>
        <v>12.8</v>
      </c>
      <c r="G21" s="25">
        <f>WG!E6</f>
        <v>25.2</v>
      </c>
      <c r="H21" s="25">
        <f>DT!E6</f>
        <v>0.95199999999999996</v>
      </c>
      <c r="J21" s="2">
        <v>2</v>
      </c>
      <c r="K21" s="6">
        <f>STDEV(C$11:C$18)</f>
        <v>0.73094850316949012</v>
      </c>
      <c r="L21" s="2">
        <v>8</v>
      </c>
      <c r="M21" s="6">
        <f>STDEV(D$11:D$18)</f>
        <v>0.75107066435665182</v>
      </c>
      <c r="N21" s="2">
        <v>8</v>
      </c>
      <c r="O21" s="6">
        <f>STDEV(E$11:E$18)</f>
        <v>0.1407885953173354</v>
      </c>
      <c r="P21" s="2">
        <v>8</v>
      </c>
      <c r="Q21" s="6">
        <f>STDEV(F$11:F$18)</f>
        <v>3.5355339059327251E-2</v>
      </c>
      <c r="R21" s="2">
        <v>8</v>
      </c>
      <c r="S21" s="6">
        <f>STDEV(G$11:G$18)</f>
        <v>9.9103120896511493E-2</v>
      </c>
      <c r="T21" s="32">
        <v>8</v>
      </c>
      <c r="U21" s="6">
        <f>STDEV(H$11:H$18)</f>
        <v>1.5282459600096178E-2</v>
      </c>
      <c r="V21" s="33">
        <v>8</v>
      </c>
      <c r="X21" s="85" t="s">
        <v>69</v>
      </c>
      <c r="Y21" s="86"/>
      <c r="Z21" s="86"/>
      <c r="AA21" s="86"/>
      <c r="AB21" s="12">
        <f>AVERAGE(AA12:AB12)</f>
        <v>0.27696268028804283</v>
      </c>
      <c r="AC21" s="12"/>
      <c r="AD21" s="12"/>
      <c r="AF21" s="2" t="s">
        <v>38</v>
      </c>
      <c r="AG21" s="6">
        <f>STDEV(Q4:Q14)/AVERAGE(Q4:Q14)*100</f>
        <v>3.3190083556484327</v>
      </c>
      <c r="AH21" s="6">
        <f>2^(1-(0.5*LOG(AB11/100)))</f>
        <v>2.7231562437629098</v>
      </c>
      <c r="AI21" s="29">
        <f t="shared" si="9"/>
        <v>1.2188093735900232</v>
      </c>
    </row>
    <row r="22" spans="1:35" ht="15" thickBot="1" x14ac:dyDescent="0.4">
      <c r="A22" s="2">
        <v>3</v>
      </c>
      <c r="B22" s="94"/>
      <c r="C22" s="25">
        <f>'TC-1'!E7</f>
        <v>95.2</v>
      </c>
      <c r="D22" s="25">
        <f>'TC-2'!E7</f>
        <v>90.9</v>
      </c>
      <c r="E22" s="25">
        <f>'SC-1'!E7</f>
        <v>12.1</v>
      </c>
      <c r="F22" s="25">
        <f>'SC-2'!E7</f>
        <v>13.1</v>
      </c>
      <c r="G22" s="25">
        <f>WG!E7</f>
        <v>25.2</v>
      </c>
      <c r="H22" s="25">
        <f>DT!E7</f>
        <v>0.97399999999999998</v>
      </c>
      <c r="J22" s="2">
        <v>3</v>
      </c>
      <c r="K22" s="6">
        <f>STDEV(C$19:C$26)</f>
        <v>1.1719946367502818</v>
      </c>
      <c r="L22" s="2">
        <v>8</v>
      </c>
      <c r="M22" s="6">
        <f>STDEV(D$19:D$26)</f>
        <v>1.4419728549059814</v>
      </c>
      <c r="N22" s="2">
        <v>8</v>
      </c>
      <c r="O22" s="6">
        <f>STDEV(E$19:E$26)</f>
        <v>0.20310096011589907</v>
      </c>
      <c r="P22" s="2">
        <v>8</v>
      </c>
      <c r="Q22" s="6">
        <f>STDEV(F$19:F$26)</f>
        <v>0.16035674514745477</v>
      </c>
      <c r="R22" s="2">
        <v>8</v>
      </c>
      <c r="S22" s="6">
        <f>STDEV(G$19:G$26)</f>
        <v>0.33139316313320127</v>
      </c>
      <c r="T22" s="32">
        <v>8</v>
      </c>
      <c r="U22" s="6">
        <f>STDEV(H$19:H$26)</f>
        <v>1.3263806822649812E-2</v>
      </c>
      <c r="V22" s="33">
        <v>8</v>
      </c>
      <c r="X22" s="83" t="s">
        <v>61</v>
      </c>
      <c r="Y22" s="84"/>
      <c r="Z22" s="84"/>
      <c r="AA22" s="84"/>
      <c r="AB22" s="13">
        <f>AVERAGE(AA13:AB13)</f>
        <v>0.42175854064197094</v>
      </c>
      <c r="AC22" s="13"/>
      <c r="AD22" s="13"/>
      <c r="AF22" s="2" t="s">
        <v>178</v>
      </c>
      <c r="AG22" s="6">
        <f>STDEV(S4:S14)/AVERAGE(S4:S14)*100</f>
        <v>1.538978888608727</v>
      </c>
      <c r="AH22" s="6">
        <f>2^(1-(0.5*LOG(AC11/100)))</f>
        <v>2.4713272520321619</v>
      </c>
      <c r="AI22" s="29">
        <f t="shared" si="9"/>
        <v>0.62273375059625602</v>
      </c>
    </row>
    <row r="23" spans="1:35" x14ac:dyDescent="0.35">
      <c r="A23" s="2">
        <v>3</v>
      </c>
      <c r="B23" s="94"/>
      <c r="C23" s="25">
        <f>'TC-1'!E8</f>
        <v>94</v>
      </c>
      <c r="D23" s="25">
        <f>'TC-2'!E8</f>
        <v>94</v>
      </c>
      <c r="E23" s="25">
        <f>'SC-1'!E8</f>
        <v>12.5</v>
      </c>
      <c r="F23" s="25">
        <f>'SC-2'!E8</f>
        <v>13</v>
      </c>
      <c r="G23" s="25">
        <f>WG!E8</f>
        <v>24.4</v>
      </c>
      <c r="H23" s="25">
        <f>DT!E8</f>
        <v>0.96799999999999997</v>
      </c>
      <c r="J23" s="2">
        <v>4</v>
      </c>
      <c r="K23" s="6">
        <f>STDEV(C$27:C$34)</f>
        <v>0.50142653642240442</v>
      </c>
      <c r="L23" s="2">
        <v>8</v>
      </c>
      <c r="M23" s="6">
        <f>STDEV(D$27:D$34)</f>
        <v>0.80876890571852766</v>
      </c>
      <c r="N23" s="2">
        <v>8</v>
      </c>
      <c r="O23" s="6">
        <f>STDEV(E$27:E$34)</f>
        <v>9.1612538131290472E-2</v>
      </c>
      <c r="P23" s="2">
        <v>8</v>
      </c>
      <c r="Q23" s="6">
        <f>STDEV(F$27:F$34)</f>
        <v>0.13024701806293221</v>
      </c>
      <c r="R23" s="2">
        <v>8</v>
      </c>
      <c r="S23" s="6">
        <f>STDEV(G$27:G$34)</f>
        <v>0.25599944196367824</v>
      </c>
      <c r="T23" s="32">
        <v>8</v>
      </c>
      <c r="U23" s="6">
        <f>STDEV(H$27:H$34)</f>
        <v>1.9242345416888681E-2</v>
      </c>
      <c r="V23" s="33">
        <v>8</v>
      </c>
      <c r="AF23" s="2" t="s">
        <v>179</v>
      </c>
      <c r="AG23" s="6">
        <f>STDEV(U4:U14)/AVERAGE(U4:U14)*100</f>
        <v>23.862612679225013</v>
      </c>
      <c r="AH23" s="6">
        <f>2^(1-(0.5*LOG(AD11/100)))</f>
        <v>4.0663308589551015</v>
      </c>
      <c r="AI23" s="29">
        <f t="shared" si="9"/>
        <v>5.8683401589601178</v>
      </c>
    </row>
    <row r="24" spans="1:35" x14ac:dyDescent="0.35">
      <c r="A24" s="2">
        <v>3</v>
      </c>
      <c r="B24" s="94"/>
      <c r="C24" s="25">
        <f>'TC-1'!E9</f>
        <v>91.7</v>
      </c>
      <c r="D24" s="25">
        <f>'TC-2'!E9</f>
        <v>91.7</v>
      </c>
      <c r="E24" s="25">
        <f>'SC-1'!E9</f>
        <v>12.2</v>
      </c>
      <c r="F24" s="25">
        <f>'SC-2'!E9</f>
        <v>13</v>
      </c>
      <c r="G24" s="25">
        <f>WG!E9</f>
        <v>25</v>
      </c>
      <c r="H24" s="25">
        <f>DT!E9</f>
        <v>0.94399999999999995</v>
      </c>
      <c r="J24" s="2">
        <v>5</v>
      </c>
      <c r="K24" s="6">
        <f>STDEV(C$35:C$42)</f>
        <v>0.96916753674775824</v>
      </c>
      <c r="L24" s="2">
        <v>8</v>
      </c>
      <c r="M24" s="6">
        <f>STDEV(D$35:D$42)</f>
        <v>0.95281537710993469</v>
      </c>
      <c r="N24" s="2">
        <v>8</v>
      </c>
      <c r="O24" s="6">
        <f>STDEV(E$35:E$42)</f>
        <v>0.19955307206712855</v>
      </c>
      <c r="P24" s="2">
        <v>8</v>
      </c>
      <c r="Q24" s="6">
        <f>STDEV(F$35:F$42)</f>
        <v>0.15118578920369077</v>
      </c>
      <c r="R24" s="2">
        <v>8</v>
      </c>
      <c r="S24" s="6">
        <f>STDEV(G$35:G$42)</f>
        <v>0.23260942125619719</v>
      </c>
      <c r="T24" s="32">
        <v>8</v>
      </c>
      <c r="U24" s="6">
        <f>STDEV(H$35:H$42)</f>
        <v>0.12074227274890677</v>
      </c>
      <c r="V24" s="33">
        <v>8</v>
      </c>
    </row>
    <row r="25" spans="1:35" ht="16.5" x14ac:dyDescent="0.35">
      <c r="A25" s="2">
        <v>3</v>
      </c>
      <c r="B25" s="94"/>
      <c r="C25" s="25">
        <f>'TC-1'!E10</f>
        <v>93.8</v>
      </c>
      <c r="D25" s="25">
        <f>'TC-2'!E10</f>
        <v>93.8</v>
      </c>
      <c r="E25" s="25">
        <f>'SC-1'!E10</f>
        <v>12</v>
      </c>
      <c r="F25" s="25">
        <f>'SC-2'!E10</f>
        <v>12.7</v>
      </c>
      <c r="G25" s="25">
        <f>WG!E10</f>
        <v>25.2</v>
      </c>
      <c r="H25" s="25">
        <f>DT!E10</f>
        <v>0.94599999999999995</v>
      </c>
      <c r="J25" s="2">
        <v>6</v>
      </c>
      <c r="K25" s="6">
        <f>STDEV(C$43:C$50)</f>
        <v>0.84473157190401604</v>
      </c>
      <c r="L25" s="2">
        <v>8</v>
      </c>
      <c r="M25" s="6">
        <f>STDEV(D$43:D$50)</f>
        <v>0.80876890571852766</v>
      </c>
      <c r="N25" s="2">
        <v>8</v>
      </c>
      <c r="O25" s="6">
        <f>STDEV(E$43:E$50)</f>
        <v>9.1612538131290472E-2</v>
      </c>
      <c r="P25" s="2">
        <v>8</v>
      </c>
      <c r="Q25" s="6">
        <f>STDEV(F$43:F$50)</f>
        <v>0.13024701806293221</v>
      </c>
      <c r="R25" s="2">
        <v>8</v>
      </c>
      <c r="S25" s="6">
        <f>STDEV(G$43:G$50)</f>
        <v>0.25599944196367824</v>
      </c>
      <c r="T25" s="32">
        <v>8</v>
      </c>
      <c r="U25" s="6">
        <f>STDEV(H$43:H$50)</f>
        <v>1.9242345416888681E-2</v>
      </c>
      <c r="V25" s="33">
        <v>8</v>
      </c>
      <c r="X25" s="2" t="s">
        <v>76</v>
      </c>
      <c r="Y25" s="2">
        <f t="shared" ref="Y25:AD25" si="10">SQRT(Y9)</f>
        <v>2.0426023817166477</v>
      </c>
      <c r="Z25" s="28">
        <f t="shared" si="10"/>
        <v>1.7720006374930815</v>
      </c>
      <c r="AA25" s="28">
        <f t="shared" si="10"/>
        <v>0.2009971951270331</v>
      </c>
      <c r="AB25" s="28">
        <f t="shared" si="10"/>
        <v>0.41610062045741586</v>
      </c>
      <c r="AC25" s="32">
        <f t="shared" si="10"/>
        <v>0.35964198661242147</v>
      </c>
      <c r="AD25" s="33">
        <f t="shared" si="10"/>
        <v>0.21218240593465551</v>
      </c>
    </row>
    <row r="26" spans="1:35" ht="16.5" x14ac:dyDescent="0.35">
      <c r="A26" s="2">
        <v>3</v>
      </c>
      <c r="B26" s="90"/>
      <c r="C26" s="25">
        <f>'TC-1'!E11</f>
        <v>94.1</v>
      </c>
      <c r="D26" s="25">
        <f>'TC-2'!E11</f>
        <v>94.1</v>
      </c>
      <c r="E26" s="25">
        <f>'SC-1'!E11</f>
        <v>12</v>
      </c>
      <c r="F26" s="25">
        <f>'SC-2'!E11</f>
        <v>12.8</v>
      </c>
      <c r="G26" s="25">
        <f>WG!E11</f>
        <v>25.2</v>
      </c>
      <c r="H26" s="25">
        <f>DT!E11</f>
        <v>0.97</v>
      </c>
      <c r="J26" s="2">
        <v>7</v>
      </c>
      <c r="K26" s="6">
        <f>STDEV(C$51:C$58)</f>
        <v>1.9134393118152451</v>
      </c>
      <c r="L26" s="2">
        <v>8</v>
      </c>
      <c r="M26" s="6">
        <f>STDEV(D$51:D$58)</f>
        <v>5.5171809571814592</v>
      </c>
      <c r="N26" s="2">
        <v>8</v>
      </c>
      <c r="O26" s="6">
        <f>STDEV(E$51:E$58)</f>
        <v>0.66708320320631653</v>
      </c>
      <c r="P26" s="2">
        <v>8</v>
      </c>
      <c r="Q26" s="6">
        <f>STDEV(F$51:F$58)</f>
        <v>0.40266966255586872</v>
      </c>
      <c r="R26" s="2">
        <v>8</v>
      </c>
      <c r="S26" s="6">
        <f>STDEV(G$51:G$58)</f>
        <v>0.26692695630078295</v>
      </c>
      <c r="T26" s="32">
        <v>8</v>
      </c>
      <c r="U26" s="6">
        <f>STDEV(H$51:H$58)</f>
        <v>3.6767367130572277E-2</v>
      </c>
      <c r="V26" s="33">
        <v>8</v>
      </c>
      <c r="X26" s="2" t="s">
        <v>77</v>
      </c>
      <c r="Y26" s="2">
        <f t="shared" ref="Y26:AD26" si="11">Y12/Y11*100</f>
        <v>1.3104418633954049</v>
      </c>
      <c r="Z26" s="28">
        <f t="shared" si="11"/>
        <v>2.483803677316772</v>
      </c>
      <c r="AA26" s="28">
        <f t="shared" si="11"/>
        <v>2.3624786348484164</v>
      </c>
      <c r="AB26" s="28">
        <f t="shared" si="11"/>
        <v>2.109407046241901</v>
      </c>
      <c r="AC26" s="32">
        <f t="shared" si="11"/>
        <v>1.3152766858346774</v>
      </c>
      <c r="AD26" s="33">
        <f t="shared" si="11"/>
        <v>8.5987297137309859</v>
      </c>
    </row>
    <row r="27" spans="1:35" ht="16.5" x14ac:dyDescent="0.35">
      <c r="A27" s="2">
        <v>4</v>
      </c>
      <c r="B27" s="89">
        <v>4</v>
      </c>
      <c r="C27" s="25">
        <f>'TC-1'!F4</f>
        <v>89.5</v>
      </c>
      <c r="D27" s="25">
        <f>'TC-2'!F4</f>
        <v>87.7</v>
      </c>
      <c r="E27" s="25">
        <f>'SC-1'!F4</f>
        <v>11.7</v>
      </c>
      <c r="F27" s="25">
        <f>'SC-2'!F4</f>
        <v>12.7</v>
      </c>
      <c r="G27" s="25">
        <f>WG!F4</f>
        <v>24.1</v>
      </c>
      <c r="H27" s="25">
        <f>DT!F4</f>
        <v>0.97099999999999997</v>
      </c>
      <c r="J27" s="9">
        <v>8</v>
      </c>
      <c r="K27" s="6">
        <f>STDEV(C$59:C$66)</f>
        <v>0.38521793460696574</v>
      </c>
      <c r="L27" s="2">
        <v>8</v>
      </c>
      <c r="M27" s="6">
        <f>STDEV(D$59:D$66)</f>
        <v>0.20658792662827991</v>
      </c>
      <c r="N27" s="2">
        <v>8</v>
      </c>
      <c r="O27" s="6">
        <f>STDEV(E$59:E$66)</f>
        <v>5.3452248382484684E-2</v>
      </c>
      <c r="P27" s="2">
        <v>8</v>
      </c>
      <c r="Q27" s="6">
        <f>STDEV(F$59:F$66)</f>
        <v>8.8640526042792225E-2</v>
      </c>
      <c r="R27" s="2">
        <v>8</v>
      </c>
      <c r="S27" s="6">
        <f>STDEV(G$59:G$66)</f>
        <v>0.19955307206712819</v>
      </c>
      <c r="T27" s="32">
        <v>8</v>
      </c>
      <c r="U27" s="6">
        <f>STDEV(H$59:H$66)</f>
        <v>0.1614069833858319</v>
      </c>
      <c r="V27" s="33">
        <v>8</v>
      </c>
      <c r="X27" s="2" t="s">
        <v>78</v>
      </c>
      <c r="Y27" s="2">
        <f t="shared" ref="Y27:AD27" si="12">Y13/Y11*100</f>
        <v>2.6256185237966889</v>
      </c>
      <c r="Z27" s="28">
        <f t="shared" si="12"/>
        <v>3.1760589525713763</v>
      </c>
      <c r="AA27" s="28">
        <f t="shared" si="12"/>
        <v>2.8993238848611766</v>
      </c>
      <c r="AB27" s="28">
        <f t="shared" si="12"/>
        <v>3.8612452383596403</v>
      </c>
      <c r="AC27" s="32">
        <f t="shared" si="12"/>
        <v>1.9703209598564131</v>
      </c>
      <c r="AD27" s="33">
        <f t="shared" si="12"/>
        <v>25.181742741166413</v>
      </c>
    </row>
    <row r="28" spans="1:35" x14ac:dyDescent="0.35">
      <c r="A28" s="2">
        <v>4</v>
      </c>
      <c r="B28" s="94"/>
      <c r="C28" s="25">
        <f>'TC-1'!F5</f>
        <v>88.9</v>
      </c>
      <c r="D28" s="25">
        <f>'TC-2'!F5</f>
        <v>89.5</v>
      </c>
      <c r="E28" s="25">
        <f>'SC-1'!F5</f>
        <v>11.7</v>
      </c>
      <c r="F28" s="25">
        <f>'SC-2'!F5</f>
        <v>12.5</v>
      </c>
      <c r="G28" s="25">
        <f>WG!F5</f>
        <v>23.7</v>
      </c>
      <c r="H28" s="25">
        <f>DT!F5</f>
        <v>0.95799999999999996</v>
      </c>
      <c r="J28" s="9">
        <v>9</v>
      </c>
      <c r="K28" s="6">
        <f>STDEV(C$67:C$74)</f>
        <v>0.56505372690188937</v>
      </c>
      <c r="L28" s="2">
        <v>8</v>
      </c>
      <c r="M28" s="6">
        <f>STDEV(D$67:D$74)</f>
        <v>0.19999999999999879</v>
      </c>
      <c r="N28" s="2">
        <v>8</v>
      </c>
      <c r="O28" s="6">
        <f>STDEV(E$67:E$74)</f>
        <v>0.12464234547582295</v>
      </c>
      <c r="P28" s="2">
        <v>8</v>
      </c>
      <c r="Q28" s="6">
        <f>STDEV(F$67:F$74)</f>
        <v>0.19086270308410547</v>
      </c>
      <c r="R28" s="2">
        <v>8</v>
      </c>
      <c r="S28" s="6">
        <f>STDEV(G$67:G$74)</f>
        <v>0.24494897427831758</v>
      </c>
      <c r="T28" s="32">
        <v>8</v>
      </c>
      <c r="U28" s="6">
        <f>STDEV(H$67:H$74)</f>
        <v>8.5345934709443461E-3</v>
      </c>
      <c r="V28" s="33">
        <v>8</v>
      </c>
      <c r="X28" s="2" t="s">
        <v>80</v>
      </c>
      <c r="Y28" s="2">
        <f t="shared" ref="Y28:AC29" si="13">Y12*2.8</f>
        <v>3.294099407894501</v>
      </c>
      <c r="Z28" s="28">
        <f t="shared" si="13"/>
        <v>6.225913587578936</v>
      </c>
      <c r="AA28" s="28">
        <f t="shared" si="13"/>
        <v>0.79108670941824166</v>
      </c>
      <c r="AB28" s="28">
        <f t="shared" si="13"/>
        <v>0.75990430019479827</v>
      </c>
      <c r="AC28" s="32">
        <f t="shared" si="13"/>
        <v>0.90282385274809285</v>
      </c>
      <c r="AD28" s="33">
        <f>AD12*2.8</f>
        <v>0.21584257731462084</v>
      </c>
    </row>
    <row r="29" spans="1:35" x14ac:dyDescent="0.35">
      <c r="A29" s="2">
        <v>4</v>
      </c>
      <c r="B29" s="94"/>
      <c r="C29" s="25">
        <f>'TC-1'!F6</f>
        <v>90.3</v>
      </c>
      <c r="D29" s="25">
        <f>'TC-2'!F6</f>
        <v>89.4</v>
      </c>
      <c r="E29" s="25">
        <f>'SC-1'!F6</f>
        <v>11.6</v>
      </c>
      <c r="F29" s="25">
        <f>'SC-2'!F6</f>
        <v>12.7</v>
      </c>
      <c r="G29" s="25">
        <f>WG!F6</f>
        <v>24</v>
      </c>
      <c r="H29" s="25">
        <f>DT!F6</f>
        <v>0.95099999999999996</v>
      </c>
      <c r="J29" s="2">
        <v>10</v>
      </c>
      <c r="K29" s="6">
        <f>STDEV(C$75:C$82)</f>
        <v>1.307942768516376</v>
      </c>
      <c r="L29" s="32">
        <v>8</v>
      </c>
      <c r="M29" s="6">
        <f>STDEV(D$75:D$82)</f>
        <v>1.1375883011253005</v>
      </c>
      <c r="N29" s="32">
        <v>8</v>
      </c>
      <c r="O29" s="6">
        <f>STDEV(E$75:E$82)</f>
        <v>0.16035674514745502</v>
      </c>
      <c r="P29" s="32">
        <v>8</v>
      </c>
      <c r="Q29" s="6">
        <f>STDEV(F$75:F$82)</f>
        <v>0.21339098923270952</v>
      </c>
      <c r="R29" s="32">
        <v>8</v>
      </c>
      <c r="S29" s="6">
        <f>STDEV(G$75:G$82)</f>
        <v>0.4301162633521316</v>
      </c>
      <c r="T29" s="32">
        <v>8</v>
      </c>
      <c r="U29" s="6">
        <f>STDEV(H$75:H$82)</f>
        <v>1.3987239082208379E-2</v>
      </c>
      <c r="V29" s="33">
        <v>8</v>
      </c>
      <c r="X29" s="2" t="s">
        <v>79</v>
      </c>
      <c r="Y29" s="2">
        <f t="shared" si="13"/>
        <v>6.6001008256753124</v>
      </c>
      <c r="Z29" s="28">
        <f t="shared" si="13"/>
        <v>7.9611238071470147</v>
      </c>
      <c r="AA29" s="28">
        <f t="shared" si="13"/>
        <v>0.97085178159069618</v>
      </c>
      <c r="AB29" s="28">
        <f t="shared" si="13"/>
        <v>1.3909960460043407</v>
      </c>
      <c r="AC29" s="32">
        <f t="shared" si="13"/>
        <v>1.3524551748585307</v>
      </c>
      <c r="AD29" s="33">
        <f>AD13*2.8</f>
        <v>0.63210409391606892</v>
      </c>
    </row>
    <row r="30" spans="1:35" x14ac:dyDescent="0.35">
      <c r="A30" s="2">
        <v>4</v>
      </c>
      <c r="B30" s="94"/>
      <c r="C30" s="25">
        <f>'TC-1'!F7</f>
        <v>89.2</v>
      </c>
      <c r="D30" s="25">
        <f>'TC-2'!F7</f>
        <v>88</v>
      </c>
      <c r="E30" s="25">
        <f>'SC-1'!F7</f>
        <v>11.7</v>
      </c>
      <c r="F30" s="25">
        <f>'SC-2'!F7</f>
        <v>12.7</v>
      </c>
      <c r="G30" s="25">
        <f>WG!F7</f>
        <v>23.9</v>
      </c>
      <c r="H30" s="25">
        <f>DT!F7</f>
        <v>0.97099999999999997</v>
      </c>
      <c r="J30" s="2">
        <v>11</v>
      </c>
      <c r="K30" s="6">
        <f>STDEV(C$83:C$90)</f>
        <v>0.21998376563477806</v>
      </c>
      <c r="L30" s="32">
        <v>8</v>
      </c>
      <c r="M30" s="6">
        <f>STDEV(D$83:D$90)</f>
        <v>0.19272482233188643</v>
      </c>
      <c r="N30" s="32">
        <v>8</v>
      </c>
      <c r="O30" s="6">
        <f>STDEV(E$83:E$90)</f>
        <v>0</v>
      </c>
      <c r="P30" s="32">
        <v>8</v>
      </c>
      <c r="Q30" s="6">
        <f>STDEV(F$83:F$90)</f>
        <v>0.35050983275386582</v>
      </c>
      <c r="R30" s="32">
        <v>8</v>
      </c>
      <c r="S30" s="6">
        <f>STDEV(G$83:G$90)</f>
        <v>0.15059406173077144</v>
      </c>
      <c r="T30" s="32">
        <v>8</v>
      </c>
      <c r="U30" s="62">
        <f>STDEV(H$83:H$90)</f>
        <v>3.3683399896260909E-2</v>
      </c>
      <c r="V30" s="33">
        <v>8</v>
      </c>
      <c r="AD30" s="33"/>
    </row>
    <row r="31" spans="1:35" x14ac:dyDescent="0.35">
      <c r="A31" s="2">
        <v>4</v>
      </c>
      <c r="B31" s="94"/>
      <c r="C31" s="25">
        <f>'TC-1'!F8</f>
        <v>89.7</v>
      </c>
      <c r="D31" s="25">
        <f>'TC-2'!F8</f>
        <v>87.6</v>
      </c>
      <c r="E31" s="25">
        <f>'SC-1'!F8</f>
        <v>11.6</v>
      </c>
      <c r="F31" s="25">
        <f>'SC-2'!F8</f>
        <v>12.8</v>
      </c>
      <c r="G31" s="25">
        <f>WG!F8</f>
        <v>24.3</v>
      </c>
      <c r="H31" s="25">
        <f>DT!F8</f>
        <v>0.98199999999999998</v>
      </c>
      <c r="X31" s="2" t="s">
        <v>81</v>
      </c>
      <c r="Y31" s="80">
        <f>AVERAGE(Y28:Z28)</f>
        <v>4.7600064977367182</v>
      </c>
      <c r="Z31" s="80"/>
      <c r="AA31" s="80">
        <f>AVERAGE(AA28:AB28)</f>
        <v>0.77549550480651996</v>
      </c>
      <c r="AB31" s="80"/>
      <c r="AC31" s="24">
        <f>AC28</f>
        <v>0.90282385274809285</v>
      </c>
      <c r="AD31" s="24">
        <f>AD28</f>
        <v>0.21584257731462084</v>
      </c>
    </row>
    <row r="32" spans="1:35" x14ac:dyDescent="0.35">
      <c r="A32" s="2">
        <v>4</v>
      </c>
      <c r="B32" s="94"/>
      <c r="C32" s="25">
        <f>'TC-1'!F9</f>
        <v>89.7</v>
      </c>
      <c r="D32" s="25">
        <f>'TC-2'!F9</f>
        <v>89.5</v>
      </c>
      <c r="E32" s="25">
        <f>'SC-1'!F9</f>
        <v>11.5</v>
      </c>
      <c r="F32" s="25">
        <f>'SC-2'!F9</f>
        <v>12.7</v>
      </c>
      <c r="G32" s="25">
        <f>WG!F9</f>
        <v>24.3</v>
      </c>
      <c r="H32" s="25">
        <f>DT!F9</f>
        <v>0.98199999999999998</v>
      </c>
      <c r="X32" s="2" t="s">
        <v>82</v>
      </c>
      <c r="Y32" s="80">
        <f>AVERAGE(Y29:Z29)</f>
        <v>7.2806123164111636</v>
      </c>
      <c r="Z32" s="80"/>
      <c r="AA32" s="80">
        <f>AVERAGE(AA29:AB29)</f>
        <v>1.1809239137975185</v>
      </c>
      <c r="AB32" s="80"/>
      <c r="AC32" s="24">
        <f>AC29</f>
        <v>1.3524551748585307</v>
      </c>
      <c r="AD32" s="24">
        <f>AD29</f>
        <v>0.63210409391606892</v>
      </c>
    </row>
    <row r="33" spans="1:8" x14ac:dyDescent="0.35">
      <c r="A33" s="2">
        <v>4</v>
      </c>
      <c r="B33" s="94"/>
      <c r="C33" s="25">
        <f>'TC-1'!F10</f>
        <v>90.1</v>
      </c>
      <c r="D33" s="25">
        <f>'TC-2'!F10</f>
        <v>88.6</v>
      </c>
      <c r="E33" s="25">
        <f>'SC-1'!F10</f>
        <v>11.7</v>
      </c>
      <c r="F33" s="25">
        <f>'SC-2'!F10</f>
        <v>12.9</v>
      </c>
      <c r="G33" s="25">
        <f>WG!F10</f>
        <v>24.3</v>
      </c>
      <c r="H33" s="25">
        <f>DT!F10</f>
        <v>0.94</v>
      </c>
    </row>
    <row r="34" spans="1:8" x14ac:dyDescent="0.35">
      <c r="A34" s="2">
        <v>4</v>
      </c>
      <c r="B34" s="90"/>
      <c r="C34" s="25">
        <f>'TC-1'!F11</f>
        <v>89</v>
      </c>
      <c r="D34" s="25">
        <f>'TC-2'!F11</f>
        <v>88.2</v>
      </c>
      <c r="E34" s="25">
        <f>'SC-1'!F11</f>
        <v>11.8</v>
      </c>
      <c r="F34" s="25">
        <f>'SC-2'!F11</f>
        <v>12.9</v>
      </c>
      <c r="G34" s="25">
        <f>WG!F11</f>
        <v>23.7</v>
      </c>
      <c r="H34" s="25">
        <f>DT!F11</f>
        <v>0.93</v>
      </c>
    </row>
    <row r="35" spans="1:8" x14ac:dyDescent="0.35">
      <c r="A35" s="2">
        <v>5</v>
      </c>
      <c r="B35" s="89">
        <v>5</v>
      </c>
      <c r="C35" s="25">
        <f>'TC-1'!G4</f>
        <v>92.6</v>
      </c>
      <c r="D35" s="25">
        <f>'TC-2'!G4</f>
        <v>89.8</v>
      </c>
      <c r="E35" s="25">
        <f>'SC-1'!G4</f>
        <v>11.8</v>
      </c>
      <c r="F35" s="25">
        <f>'SC-2'!G4</f>
        <v>12.6</v>
      </c>
      <c r="G35" s="25">
        <f>WG!G4</f>
        <v>24.6</v>
      </c>
      <c r="H35" s="25">
        <f>DT!G4</f>
        <v>0.66400000000000003</v>
      </c>
    </row>
    <row r="36" spans="1:8" x14ac:dyDescent="0.35">
      <c r="A36" s="2">
        <v>5</v>
      </c>
      <c r="B36" s="94"/>
      <c r="C36" s="25">
        <f>'TC-1'!G5</f>
        <v>90.6</v>
      </c>
      <c r="D36" s="25">
        <f>'TC-2'!G5</f>
        <v>91.5</v>
      </c>
      <c r="E36" s="25">
        <f>'SC-1'!G5</f>
        <v>11.9</v>
      </c>
      <c r="F36" s="25">
        <f>'SC-2'!G5</f>
        <v>12.4</v>
      </c>
      <c r="G36" s="25">
        <f>WG!G5</f>
        <v>24.3</v>
      </c>
      <c r="H36" s="25">
        <f>DT!G5</f>
        <v>0.67800000000000005</v>
      </c>
    </row>
    <row r="37" spans="1:8" x14ac:dyDescent="0.35">
      <c r="A37" s="2">
        <v>5</v>
      </c>
      <c r="B37" s="94"/>
      <c r="C37" s="25">
        <f>'TC-1'!G6</f>
        <v>91.8</v>
      </c>
      <c r="D37" s="25">
        <f>'TC-2'!G6</f>
        <v>91.1</v>
      </c>
      <c r="E37" s="25">
        <f>'SC-1'!G6</f>
        <v>11.5</v>
      </c>
      <c r="F37" s="25">
        <f>'SC-2'!G6</f>
        <v>12.3</v>
      </c>
      <c r="G37" s="25">
        <f>WG!G6</f>
        <v>24.4</v>
      </c>
      <c r="H37" s="25">
        <f>DT!G6</f>
        <v>0.92400000000000004</v>
      </c>
    </row>
    <row r="38" spans="1:8" x14ac:dyDescent="0.35">
      <c r="A38" s="2">
        <v>5</v>
      </c>
      <c r="B38" s="94"/>
      <c r="C38" s="25">
        <f>'TC-1'!G7</f>
        <v>91.9</v>
      </c>
      <c r="D38" s="25">
        <f>'TC-2'!G7</f>
        <v>89.8</v>
      </c>
      <c r="E38" s="25">
        <f>'SC-1'!G7</f>
        <v>11.7</v>
      </c>
      <c r="F38" s="25">
        <f>'SC-2'!G7</f>
        <v>12.6</v>
      </c>
      <c r="G38" s="25">
        <f>WG!G7</f>
        <v>24</v>
      </c>
      <c r="H38" s="25">
        <f>DT!G7</f>
        <v>0.92700000000000005</v>
      </c>
    </row>
    <row r="39" spans="1:8" x14ac:dyDescent="0.35">
      <c r="A39" s="2">
        <v>5</v>
      </c>
      <c r="B39" s="94"/>
      <c r="C39" s="25">
        <f>'TC-1'!G8</f>
        <v>91.2</v>
      </c>
      <c r="D39" s="25">
        <f>'TC-2'!G8</f>
        <v>90.9</v>
      </c>
      <c r="E39" s="25">
        <f>'SC-1'!G8</f>
        <v>11.5</v>
      </c>
      <c r="F39" s="25">
        <f>'SC-2'!G8</f>
        <v>12.6</v>
      </c>
      <c r="G39" s="25">
        <f>WG!G8</f>
        <v>24.1</v>
      </c>
      <c r="H39" s="25">
        <f>DT!G8</f>
        <v>0.92600000000000005</v>
      </c>
    </row>
    <row r="40" spans="1:8" x14ac:dyDescent="0.35">
      <c r="A40" s="2">
        <v>5</v>
      </c>
      <c r="B40" s="94"/>
      <c r="C40" s="25">
        <f>'TC-1'!G9</f>
        <v>89.6</v>
      </c>
      <c r="D40" s="25">
        <f>'TC-2'!G9</f>
        <v>92.7</v>
      </c>
      <c r="E40" s="25">
        <f>'SC-1'!G9</f>
        <v>11.3</v>
      </c>
      <c r="F40" s="25">
        <f>'SC-2'!G9</f>
        <v>12.5</v>
      </c>
      <c r="G40" s="25">
        <f>WG!G9</f>
        <v>24.6</v>
      </c>
      <c r="H40" s="25">
        <f>DT!G9</f>
        <v>0.92100000000000004</v>
      </c>
    </row>
    <row r="41" spans="1:8" x14ac:dyDescent="0.35">
      <c r="A41" s="2">
        <v>5</v>
      </c>
      <c r="B41" s="94"/>
      <c r="C41" s="25">
        <f>'TC-1'!G10</f>
        <v>91.4</v>
      </c>
      <c r="D41" s="25">
        <f>'TC-2'!G10</f>
        <v>90.6</v>
      </c>
      <c r="E41" s="25">
        <f>'SC-1'!G10</f>
        <v>11.6</v>
      </c>
      <c r="F41" s="25">
        <f>'SC-2'!G10</f>
        <v>12.4</v>
      </c>
      <c r="G41" s="25">
        <f>WG!G10</f>
        <v>24.3</v>
      </c>
      <c r="H41" s="25">
        <f>DT!G10</f>
        <v>0.95299999999999996</v>
      </c>
    </row>
    <row r="42" spans="1:8" x14ac:dyDescent="0.35">
      <c r="A42" s="2">
        <v>5</v>
      </c>
      <c r="B42" s="90"/>
      <c r="C42" s="25">
        <f>'TC-1'!G11</f>
        <v>90.3</v>
      </c>
      <c r="D42" s="25">
        <f>'TC-2'!G11</f>
        <v>91.4</v>
      </c>
      <c r="E42" s="25">
        <f>'SC-1'!G11</f>
        <v>11.8</v>
      </c>
      <c r="F42" s="25">
        <f>'SC-2'!G11</f>
        <v>12.2</v>
      </c>
      <c r="G42" s="25">
        <f>WG!G11</f>
        <v>24.6</v>
      </c>
      <c r="H42" s="25">
        <f>DT!G11</f>
        <v>0.93400000000000005</v>
      </c>
    </row>
    <row r="43" spans="1:8" x14ac:dyDescent="0.35">
      <c r="A43" s="2">
        <v>6</v>
      </c>
      <c r="B43" s="89">
        <v>6</v>
      </c>
      <c r="C43" s="25">
        <f>'TC-1'!H4</f>
        <v>89.5</v>
      </c>
      <c r="D43" s="25">
        <f>'TC-2'!H4</f>
        <v>87.7</v>
      </c>
      <c r="E43" s="25">
        <f>'SC-1'!H4</f>
        <v>11.7</v>
      </c>
      <c r="F43" s="25">
        <f>'SC-2'!H4</f>
        <v>12.7</v>
      </c>
      <c r="G43" s="25">
        <f>WG!H4</f>
        <v>24.1</v>
      </c>
      <c r="H43" s="25">
        <f>DT!H4</f>
        <v>0.97099999999999997</v>
      </c>
    </row>
    <row r="44" spans="1:8" x14ac:dyDescent="0.35">
      <c r="A44" s="2">
        <v>6</v>
      </c>
      <c r="B44" s="94"/>
      <c r="C44" s="25">
        <f>'TC-1'!H5</f>
        <v>88.9</v>
      </c>
      <c r="D44" s="25">
        <f>'TC-2'!H5</f>
        <v>89.5</v>
      </c>
      <c r="E44" s="25">
        <f>'SC-1'!H5</f>
        <v>11.7</v>
      </c>
      <c r="F44" s="25">
        <f>'SC-2'!H5</f>
        <v>12.5</v>
      </c>
      <c r="G44" s="25">
        <f>WG!H5</f>
        <v>23.7</v>
      </c>
      <c r="H44" s="25">
        <f>DT!H5</f>
        <v>0.95799999999999996</v>
      </c>
    </row>
    <row r="45" spans="1:8" x14ac:dyDescent="0.35">
      <c r="A45" s="2">
        <v>6</v>
      </c>
      <c r="B45" s="94"/>
      <c r="C45" s="25">
        <f>'TC-1'!H6</f>
        <v>90.3</v>
      </c>
      <c r="D45" s="25">
        <f>'TC-2'!H6</f>
        <v>89.4</v>
      </c>
      <c r="E45" s="25">
        <f>'SC-1'!H6</f>
        <v>11.6</v>
      </c>
      <c r="F45" s="25">
        <f>'SC-2'!H6</f>
        <v>12.7</v>
      </c>
      <c r="G45" s="25">
        <f>WG!H6</f>
        <v>24</v>
      </c>
      <c r="H45" s="25">
        <f>DT!H6</f>
        <v>0.95099999999999996</v>
      </c>
    </row>
    <row r="46" spans="1:8" x14ac:dyDescent="0.35">
      <c r="A46" s="2">
        <v>6</v>
      </c>
      <c r="B46" s="94"/>
      <c r="C46" s="25">
        <f>'TC-1'!H7</f>
        <v>89.2</v>
      </c>
      <c r="D46" s="25">
        <f>'TC-2'!H7</f>
        <v>88</v>
      </c>
      <c r="E46" s="25">
        <f>'SC-1'!H7</f>
        <v>11.7</v>
      </c>
      <c r="F46" s="25">
        <f>'SC-2'!H7</f>
        <v>12.7</v>
      </c>
      <c r="G46" s="25">
        <f>WG!H7</f>
        <v>23.9</v>
      </c>
      <c r="H46" s="25">
        <f>DT!H7</f>
        <v>0.97099999999999997</v>
      </c>
    </row>
    <row r="47" spans="1:8" x14ac:dyDescent="0.35">
      <c r="A47" s="2">
        <v>6</v>
      </c>
      <c r="B47" s="94"/>
      <c r="C47" s="25">
        <f>'TC-1'!H8</f>
        <v>87.6</v>
      </c>
      <c r="D47" s="25">
        <f>'TC-2'!H8</f>
        <v>87.6</v>
      </c>
      <c r="E47" s="25">
        <f>'SC-1'!H8</f>
        <v>11.6</v>
      </c>
      <c r="F47" s="25">
        <f>'SC-2'!H8</f>
        <v>12.8</v>
      </c>
      <c r="G47" s="25">
        <f>WG!H8</f>
        <v>24.3</v>
      </c>
      <c r="H47" s="25">
        <f>DT!H8</f>
        <v>0.98199999999999998</v>
      </c>
    </row>
    <row r="48" spans="1:8" x14ac:dyDescent="0.35">
      <c r="A48" s="2">
        <v>6</v>
      </c>
      <c r="B48" s="94"/>
      <c r="C48" s="25">
        <f>'TC-1'!H9</f>
        <v>89.5</v>
      </c>
      <c r="D48" s="25">
        <f>'TC-2'!H9</f>
        <v>89.5</v>
      </c>
      <c r="E48" s="25">
        <f>'SC-1'!H9</f>
        <v>11.5</v>
      </c>
      <c r="F48" s="25">
        <f>'SC-2'!H9</f>
        <v>12.7</v>
      </c>
      <c r="G48" s="25">
        <f>WG!H9</f>
        <v>24.3</v>
      </c>
      <c r="H48" s="25">
        <f>DT!H9</f>
        <v>0.98199999999999998</v>
      </c>
    </row>
    <row r="49" spans="1:8" x14ac:dyDescent="0.35">
      <c r="A49" s="2">
        <v>6</v>
      </c>
      <c r="B49" s="94"/>
      <c r="C49" s="25">
        <f>'TC-1'!H10</f>
        <v>88.6</v>
      </c>
      <c r="D49" s="25">
        <f>'TC-2'!H10</f>
        <v>88.6</v>
      </c>
      <c r="E49" s="25">
        <f>'SC-1'!H10</f>
        <v>11.7</v>
      </c>
      <c r="F49" s="25">
        <f>'SC-2'!H10</f>
        <v>12.9</v>
      </c>
      <c r="G49" s="25">
        <f>WG!H10</f>
        <v>24.3</v>
      </c>
      <c r="H49" s="25">
        <f>DT!H10</f>
        <v>0.94</v>
      </c>
    </row>
    <row r="50" spans="1:8" x14ac:dyDescent="0.35">
      <c r="A50" s="2">
        <v>6</v>
      </c>
      <c r="B50" s="90"/>
      <c r="C50" s="25">
        <f>'TC-1'!H11</f>
        <v>88.2</v>
      </c>
      <c r="D50" s="25">
        <f>'TC-2'!H11</f>
        <v>88.2</v>
      </c>
      <c r="E50" s="25">
        <f>'SC-1'!H11</f>
        <v>11.8</v>
      </c>
      <c r="F50" s="25">
        <f>'SC-2'!H11</f>
        <v>12.9</v>
      </c>
      <c r="G50" s="25">
        <f>WG!H11</f>
        <v>23.7</v>
      </c>
      <c r="H50" s="25">
        <f>DT!H11</f>
        <v>0.93</v>
      </c>
    </row>
    <row r="51" spans="1:8" x14ac:dyDescent="0.35">
      <c r="A51" s="9">
        <v>7</v>
      </c>
      <c r="B51" s="89">
        <v>7</v>
      </c>
      <c r="C51" s="25">
        <f>'TC-1'!I4</f>
        <v>89.7</v>
      </c>
      <c r="D51" s="25">
        <f>'TC-2'!I4</f>
        <v>79.8</v>
      </c>
      <c r="E51" s="25">
        <f>'SC-1'!I4</f>
        <v>12.2</v>
      </c>
      <c r="F51" s="25">
        <f>'SC-2'!I4</f>
        <v>12.3</v>
      </c>
      <c r="G51" s="25">
        <f>WG!I4</f>
        <v>24.6</v>
      </c>
      <c r="H51" s="25">
        <f>DT!I4</f>
        <v>1.02</v>
      </c>
    </row>
    <row r="52" spans="1:8" x14ac:dyDescent="0.35">
      <c r="A52" s="9">
        <v>7</v>
      </c>
      <c r="B52" s="94"/>
      <c r="C52" s="25">
        <f>'TC-1'!I5</f>
        <v>89.7</v>
      </c>
      <c r="D52" s="25">
        <f>'TC-2'!I5</f>
        <v>80</v>
      </c>
      <c r="E52" s="25">
        <f>'SC-1'!I5</f>
        <v>12.1</v>
      </c>
      <c r="F52" s="25">
        <f>'SC-2'!I5</f>
        <v>12.2</v>
      </c>
      <c r="G52" s="25">
        <f>WG!I5</f>
        <v>24.6</v>
      </c>
      <c r="H52" s="25">
        <f>DT!I5</f>
        <v>1.02</v>
      </c>
    </row>
    <row r="53" spans="1:8" x14ac:dyDescent="0.35">
      <c r="A53" s="9">
        <v>7</v>
      </c>
      <c r="B53" s="94"/>
      <c r="C53" s="25">
        <f>'TC-1'!I6</f>
        <v>86.9</v>
      </c>
      <c r="D53" s="25">
        <f>'TC-2'!I6</f>
        <v>85.3</v>
      </c>
      <c r="E53" s="25">
        <f>'SC-1'!I6</f>
        <v>10.8</v>
      </c>
      <c r="F53" s="25">
        <f>'SC-2'!I6</f>
        <v>12.2</v>
      </c>
      <c r="G53" s="25">
        <f>WG!I6</f>
        <v>24.4</v>
      </c>
      <c r="H53" s="25">
        <f>DT!I6</f>
        <v>1.02</v>
      </c>
    </row>
    <row r="54" spans="1:8" x14ac:dyDescent="0.35">
      <c r="A54" s="9">
        <v>7</v>
      </c>
      <c r="B54" s="94"/>
      <c r="C54" s="25">
        <f>'TC-1'!I7</f>
        <v>87.3</v>
      </c>
      <c r="D54" s="25">
        <f>'TC-2'!I7</f>
        <v>85.2</v>
      </c>
      <c r="E54" s="25">
        <f>'SC-1'!I7</f>
        <v>10.8</v>
      </c>
      <c r="F54" s="25">
        <f>'SC-2'!I7</f>
        <v>12.3</v>
      </c>
      <c r="G54" s="25">
        <f>WG!I7</f>
        <v>24.4</v>
      </c>
      <c r="H54" s="25">
        <f>DT!I7</f>
        <v>1.01</v>
      </c>
    </row>
    <row r="55" spans="1:8" x14ac:dyDescent="0.35">
      <c r="A55" s="9">
        <v>7</v>
      </c>
      <c r="B55" s="94"/>
      <c r="C55" s="25">
        <f>'TC-1'!I8</f>
        <v>90.6</v>
      </c>
      <c r="D55" s="25">
        <f>'TC-2'!I8</f>
        <v>92.3</v>
      </c>
      <c r="E55" s="25">
        <f>'SC-1'!I8</f>
        <v>12.3</v>
      </c>
      <c r="F55" s="25">
        <f>'SC-2'!I8</f>
        <v>13</v>
      </c>
      <c r="G55" s="25">
        <f>WG!I8</f>
        <v>25</v>
      </c>
      <c r="H55" s="25">
        <f>DT!I8</f>
        <v>0.96599999999999997</v>
      </c>
    </row>
    <row r="56" spans="1:8" x14ac:dyDescent="0.35">
      <c r="A56" s="9">
        <v>7</v>
      </c>
      <c r="B56" s="94"/>
      <c r="C56" s="25">
        <f>'TC-1'!I9</f>
        <v>91.2</v>
      </c>
      <c r="D56" s="25">
        <f>'TC-2'!I9</f>
        <v>91.9</v>
      </c>
      <c r="E56" s="25">
        <f>'SC-1'!I9</f>
        <v>12.3</v>
      </c>
      <c r="F56" s="25">
        <f>'SC-2'!I9</f>
        <v>13</v>
      </c>
      <c r="G56" s="25">
        <f>WG!I9</f>
        <v>24.9</v>
      </c>
      <c r="H56" s="25">
        <f>DT!I9</f>
        <v>0.96799999999999997</v>
      </c>
    </row>
    <row r="57" spans="1:8" x14ac:dyDescent="0.35">
      <c r="A57" s="9">
        <v>7</v>
      </c>
      <c r="B57" s="94"/>
      <c r="C57" s="25">
        <f>'TC-1'!I10</f>
        <v>91.9</v>
      </c>
      <c r="D57" s="25">
        <f>'TC-2'!I10</f>
        <v>92.2</v>
      </c>
      <c r="E57" s="25">
        <f>'SC-1'!I10</f>
        <v>12.3</v>
      </c>
      <c r="F57" s="25">
        <f>'SC-2'!I10</f>
        <v>13</v>
      </c>
      <c r="G57" s="25">
        <f>WG!I10</f>
        <v>25</v>
      </c>
      <c r="H57" s="25">
        <f>DT!I10</f>
        <v>0.93799999999999994</v>
      </c>
    </row>
    <row r="58" spans="1:8" x14ac:dyDescent="0.35">
      <c r="A58" s="9">
        <v>7</v>
      </c>
      <c r="B58" s="90"/>
      <c r="C58" s="25">
        <f>'TC-1'!I11</f>
        <v>91.8</v>
      </c>
      <c r="D58" s="25">
        <f>'TC-2'!I11</f>
        <v>92.3</v>
      </c>
      <c r="E58" s="25">
        <f>'SC-1'!I11</f>
        <v>12.2</v>
      </c>
      <c r="F58" s="25">
        <f>'SC-2'!I11</f>
        <v>13</v>
      </c>
      <c r="G58" s="25">
        <f>WG!I11</f>
        <v>25</v>
      </c>
      <c r="H58" s="25">
        <f>DT!I11</f>
        <v>0.93700000000000006</v>
      </c>
    </row>
    <row r="59" spans="1:8" x14ac:dyDescent="0.35">
      <c r="A59" s="9">
        <v>8</v>
      </c>
      <c r="B59" s="97">
        <v>8</v>
      </c>
      <c r="C59" s="25">
        <f>'TC-1'!J4</f>
        <v>90</v>
      </c>
      <c r="D59" s="25">
        <f>'TC-2'!J4</f>
        <v>90.6</v>
      </c>
      <c r="E59" s="25">
        <f>'SC-1'!J4</f>
        <v>12.1</v>
      </c>
      <c r="F59" s="25">
        <f>'SC-2'!J4</f>
        <v>12.8</v>
      </c>
      <c r="G59" s="25">
        <f>WG!J4</f>
        <v>24.4</v>
      </c>
      <c r="H59" s="25">
        <f>DT!J4</f>
        <v>1.01</v>
      </c>
    </row>
    <row r="60" spans="1:8" x14ac:dyDescent="0.35">
      <c r="A60" s="9">
        <v>8</v>
      </c>
      <c r="B60" s="94"/>
      <c r="C60" s="25">
        <f>'TC-1'!J5</f>
        <v>90</v>
      </c>
      <c r="D60" s="25">
        <f>'TC-2'!J5</f>
        <v>90.5</v>
      </c>
      <c r="E60" s="25">
        <f>'SC-1'!J5</f>
        <v>12.1</v>
      </c>
      <c r="F60" s="25">
        <f>'SC-2'!J5</f>
        <v>12.8</v>
      </c>
      <c r="G60" s="25">
        <f>WG!J5</f>
        <v>24.4</v>
      </c>
      <c r="H60" s="25">
        <f>DT!J5</f>
        <v>1.01</v>
      </c>
    </row>
    <row r="61" spans="1:8" x14ac:dyDescent="0.35">
      <c r="A61" s="9">
        <v>8</v>
      </c>
      <c r="B61" s="94"/>
      <c r="C61" s="25">
        <f>'TC-1'!J6</f>
        <v>90.2</v>
      </c>
      <c r="D61" s="25">
        <f>'TC-2'!J6</f>
        <v>90.2</v>
      </c>
      <c r="E61" s="25">
        <f>'SC-1'!J6</f>
        <v>12.1</v>
      </c>
      <c r="F61" s="25">
        <f>'SC-2'!J6</f>
        <v>12.7</v>
      </c>
      <c r="G61" s="25">
        <f>WG!J6</f>
        <v>24.4</v>
      </c>
      <c r="H61" s="25">
        <f>DT!J6</f>
        <v>1</v>
      </c>
    </row>
    <row r="62" spans="1:8" x14ac:dyDescent="0.35">
      <c r="A62" s="9">
        <v>8</v>
      </c>
      <c r="B62" s="94"/>
      <c r="C62" s="25">
        <f>'TC-1'!J7</f>
        <v>90.1</v>
      </c>
      <c r="D62" s="25">
        <f>'TC-2'!J7</f>
        <v>90.1</v>
      </c>
      <c r="E62" s="25">
        <f>'SC-1'!J7</f>
        <v>12.1</v>
      </c>
      <c r="F62" s="25">
        <f>'SC-2'!J7</f>
        <v>12.7</v>
      </c>
      <c r="G62" s="25">
        <f>WG!J7</f>
        <v>24.4</v>
      </c>
      <c r="H62" s="25">
        <f>DT!J7</f>
        <v>1</v>
      </c>
    </row>
    <row r="63" spans="1:8" x14ac:dyDescent="0.35">
      <c r="A63" s="9">
        <v>8</v>
      </c>
      <c r="B63" s="94"/>
      <c r="C63" s="25">
        <f>'TC-1'!J8</f>
        <v>89.2</v>
      </c>
      <c r="D63" s="25">
        <f>'TC-2'!J8</f>
        <v>90.7</v>
      </c>
      <c r="E63" s="25">
        <f>'SC-1'!J8</f>
        <v>12</v>
      </c>
      <c r="F63" s="25">
        <f>'SC-2'!J8</f>
        <v>12.6</v>
      </c>
      <c r="G63" s="25">
        <f>WG!J8</f>
        <v>23.9</v>
      </c>
      <c r="H63" s="25">
        <f>DT!J8</f>
        <v>0.65800000000000003</v>
      </c>
    </row>
    <row r="64" spans="1:8" x14ac:dyDescent="0.35">
      <c r="A64" s="9">
        <v>8</v>
      </c>
      <c r="B64" s="94"/>
      <c r="C64" s="25">
        <f>'TC-1'!J9</f>
        <v>89.3</v>
      </c>
      <c r="D64" s="25">
        <f>'TC-2'!J9</f>
        <v>90.5</v>
      </c>
      <c r="E64" s="25">
        <f>'SC-1'!J9</f>
        <v>12</v>
      </c>
      <c r="F64" s="25">
        <f>'SC-2'!J9</f>
        <v>12.6</v>
      </c>
      <c r="G64" s="25">
        <f>WG!J9</f>
        <v>24</v>
      </c>
      <c r="H64" s="25">
        <f>DT!J9</f>
        <v>0.65800000000000003</v>
      </c>
    </row>
    <row r="65" spans="1:8" x14ac:dyDescent="0.35">
      <c r="A65" s="9">
        <v>8</v>
      </c>
      <c r="B65" s="94"/>
      <c r="C65" s="25">
        <f>'TC-1'!J10</f>
        <v>90</v>
      </c>
      <c r="D65" s="25">
        <f>'TC-2'!J10</f>
        <v>90.6</v>
      </c>
      <c r="E65" s="25">
        <f>'SC-1'!J10</f>
        <v>12</v>
      </c>
      <c r="F65" s="25">
        <f>'SC-2'!J10</f>
        <v>12.6</v>
      </c>
      <c r="G65" s="25">
        <f>WG!J10</f>
        <v>24.2</v>
      </c>
      <c r="H65" s="25">
        <f>DT!J10</f>
        <v>0.76900000000000002</v>
      </c>
    </row>
    <row r="66" spans="1:8" x14ac:dyDescent="0.35">
      <c r="A66" s="9">
        <v>8</v>
      </c>
      <c r="B66" s="90"/>
      <c r="C66" s="25">
        <f>'TC-1'!J11</f>
        <v>90.1</v>
      </c>
      <c r="D66" s="25">
        <f>'TC-2'!J11</f>
        <v>90.5</v>
      </c>
      <c r="E66" s="25">
        <f>'SC-1'!J11</f>
        <v>12</v>
      </c>
      <c r="F66" s="25">
        <f>'SC-2'!J11</f>
        <v>12.6</v>
      </c>
      <c r="G66" s="25">
        <f>WG!J11</f>
        <v>24.2</v>
      </c>
      <c r="H66" s="25">
        <f>DT!J11</f>
        <v>0.76900000000000002</v>
      </c>
    </row>
    <row r="67" spans="1:8" x14ac:dyDescent="0.35">
      <c r="A67" s="9">
        <v>9</v>
      </c>
      <c r="B67" s="97">
        <v>9</v>
      </c>
      <c r="C67" s="25">
        <f>'TC-1'!K4</f>
        <v>90.7</v>
      </c>
      <c r="D67" s="25">
        <f>'TC-2'!K4</f>
        <v>90.4</v>
      </c>
      <c r="E67" s="25">
        <f>'SC-1'!K4</f>
        <v>12.1</v>
      </c>
      <c r="F67" s="25">
        <f>'SC-2'!K4</f>
        <v>12.9</v>
      </c>
      <c r="G67" s="7">
        <f>WG!K4</f>
        <v>24.5</v>
      </c>
      <c r="H67" s="25">
        <f>DT!K4</f>
        <v>1.01</v>
      </c>
    </row>
    <row r="68" spans="1:8" x14ac:dyDescent="0.35">
      <c r="A68" s="9">
        <v>9</v>
      </c>
      <c r="B68" s="94"/>
      <c r="C68" s="25">
        <f>'TC-1'!K5</f>
        <v>90.6</v>
      </c>
      <c r="D68" s="25">
        <f>'TC-2'!K5</f>
        <v>90.5</v>
      </c>
      <c r="E68" s="25">
        <f>'SC-1'!K5</f>
        <v>12.1</v>
      </c>
      <c r="F68" s="25">
        <f>'SC-2'!K5</f>
        <v>12.9</v>
      </c>
      <c r="G68" s="7">
        <f>WG!K5</f>
        <v>24.5</v>
      </c>
      <c r="H68" s="25">
        <f>DT!K5</f>
        <v>1.01</v>
      </c>
    </row>
    <row r="69" spans="1:8" x14ac:dyDescent="0.35">
      <c r="A69" s="9">
        <v>9</v>
      </c>
      <c r="B69" s="94"/>
      <c r="C69" s="25">
        <f>'TC-1'!K6</f>
        <v>90.7</v>
      </c>
      <c r="D69" s="25">
        <f>'TC-2'!K6</f>
        <v>90.4</v>
      </c>
      <c r="E69" s="25">
        <f>'SC-1'!K6</f>
        <v>12.1</v>
      </c>
      <c r="F69" s="25">
        <f>'SC-2'!K6</f>
        <v>12.9</v>
      </c>
      <c r="G69" s="7">
        <f>WG!K6</f>
        <v>24.4</v>
      </c>
      <c r="H69" s="25">
        <f>DT!K6</f>
        <v>0.998</v>
      </c>
    </row>
    <row r="70" spans="1:8" x14ac:dyDescent="0.35">
      <c r="A70" s="9">
        <v>9</v>
      </c>
      <c r="B70" s="94"/>
      <c r="C70" s="25">
        <f>'TC-1'!K7</f>
        <v>90.6</v>
      </c>
      <c r="D70" s="25">
        <f>'TC-2'!K7</f>
        <v>90.5</v>
      </c>
      <c r="E70" s="25">
        <f>'SC-1'!K7</f>
        <v>12.1</v>
      </c>
      <c r="F70" s="25">
        <f>'SC-2'!K7</f>
        <v>12.9</v>
      </c>
      <c r="G70" s="7">
        <f>WG!K7</f>
        <v>24.5</v>
      </c>
      <c r="H70" s="25">
        <f>DT!K7</f>
        <v>0.997</v>
      </c>
    </row>
    <row r="71" spans="1:8" x14ac:dyDescent="0.35">
      <c r="A71" s="9">
        <v>9</v>
      </c>
      <c r="B71" s="94"/>
      <c r="C71" s="25">
        <f>'TC-1'!K8</f>
        <v>89.6</v>
      </c>
      <c r="D71" s="25">
        <f>'TC-2'!K8</f>
        <v>90.8</v>
      </c>
      <c r="E71" s="25">
        <f>'SC-1'!K8</f>
        <v>12.3</v>
      </c>
      <c r="F71" s="25">
        <f>'SC-2'!K8</f>
        <v>13.2</v>
      </c>
      <c r="G71" s="7">
        <f>WG!K8</f>
        <v>24.9</v>
      </c>
      <c r="H71" s="25">
        <f>DT!K8</f>
        <v>1.02</v>
      </c>
    </row>
    <row r="72" spans="1:8" x14ac:dyDescent="0.35">
      <c r="A72" s="9">
        <v>9</v>
      </c>
      <c r="B72" s="94"/>
      <c r="C72" s="25">
        <f>'TC-1'!K9</f>
        <v>89.6</v>
      </c>
      <c r="D72" s="25">
        <f>'TC-2'!K9</f>
        <v>90.9</v>
      </c>
      <c r="E72" s="25">
        <f>'SC-1'!K9</f>
        <v>12.3</v>
      </c>
      <c r="F72" s="25">
        <f>'SC-2'!K9</f>
        <v>13.3</v>
      </c>
      <c r="G72" s="7">
        <f>WG!K9</f>
        <v>25</v>
      </c>
      <c r="H72" s="25">
        <f>DT!K9</f>
        <v>1.01</v>
      </c>
    </row>
    <row r="73" spans="1:8" x14ac:dyDescent="0.35">
      <c r="A73" s="9">
        <v>9</v>
      </c>
      <c r="B73" s="94"/>
      <c r="C73" s="25">
        <f>'TC-1'!K10</f>
        <v>89.5</v>
      </c>
      <c r="D73" s="25">
        <f>'TC-2'!K10</f>
        <v>90.8</v>
      </c>
      <c r="E73" s="25">
        <f>'SC-1'!K10</f>
        <v>12.3</v>
      </c>
      <c r="F73" s="25">
        <f>'SC-2'!K10</f>
        <v>13.2</v>
      </c>
      <c r="G73" s="7">
        <f>WG!K10</f>
        <v>24.9</v>
      </c>
      <c r="H73" s="25">
        <f>DT!K10</f>
        <v>1.01</v>
      </c>
    </row>
    <row r="74" spans="1:8" x14ac:dyDescent="0.35">
      <c r="A74" s="9">
        <v>9</v>
      </c>
      <c r="B74" s="90"/>
      <c r="C74" s="25">
        <f>'TC-1'!K11</f>
        <v>89.7</v>
      </c>
      <c r="D74" s="25">
        <f>'TC-2'!K11</f>
        <v>90.5</v>
      </c>
      <c r="E74" s="25">
        <f>'SC-1'!K11</f>
        <v>12.4</v>
      </c>
      <c r="F74" s="25">
        <f>'SC-2'!K11</f>
        <v>13.3</v>
      </c>
      <c r="G74" s="7">
        <f>WG!K11</f>
        <v>24.9</v>
      </c>
      <c r="H74" s="25">
        <f>DT!K11</f>
        <v>1.02</v>
      </c>
    </row>
    <row r="75" spans="1:8" x14ac:dyDescent="0.35">
      <c r="A75" s="9">
        <v>10</v>
      </c>
      <c r="B75" s="97">
        <v>10</v>
      </c>
      <c r="C75" s="25">
        <f>'TC-1'!L4</f>
        <v>89.3</v>
      </c>
      <c r="D75" s="25">
        <f>'TC-2'!L4</f>
        <v>90.2</v>
      </c>
      <c r="E75" s="25">
        <f>'SC-1'!L4</f>
        <v>12.1</v>
      </c>
      <c r="F75" s="25">
        <f>'SC-2'!L4</f>
        <v>13</v>
      </c>
      <c r="G75" s="7">
        <f>WG!L4</f>
        <v>24.3</v>
      </c>
      <c r="H75" s="7">
        <f>DT!L4</f>
        <v>0.98399999999999999</v>
      </c>
    </row>
    <row r="76" spans="1:8" x14ac:dyDescent="0.35">
      <c r="A76" s="9">
        <v>10</v>
      </c>
      <c r="B76" s="94"/>
      <c r="C76" s="25">
        <f>'TC-1'!L5</f>
        <v>89.4</v>
      </c>
      <c r="D76" s="25">
        <f>'TC-2'!L5</f>
        <v>90.1</v>
      </c>
      <c r="E76" s="25">
        <f>'SC-1'!L5</f>
        <v>12.1</v>
      </c>
      <c r="F76" s="25">
        <f>'SC-2'!L5</f>
        <v>13</v>
      </c>
      <c r="G76" s="7">
        <f>WG!L5</f>
        <v>24.3</v>
      </c>
      <c r="H76" s="7">
        <f>DT!L5</f>
        <v>0.98499999999999999</v>
      </c>
    </row>
    <row r="77" spans="1:8" x14ac:dyDescent="0.35">
      <c r="A77" s="9">
        <v>10</v>
      </c>
      <c r="B77" s="94"/>
      <c r="C77" s="25">
        <f>'TC-1'!L6</f>
        <v>89.4</v>
      </c>
      <c r="D77" s="25">
        <f>'TC-2'!L6</f>
        <v>90</v>
      </c>
      <c r="E77" s="25">
        <f>'SC-1'!L6</f>
        <v>12.1</v>
      </c>
      <c r="F77" s="25">
        <f>'SC-2'!L6</f>
        <v>13.1</v>
      </c>
      <c r="G77" s="7">
        <f>WG!L6</f>
        <v>24.4</v>
      </c>
      <c r="H77" s="7">
        <f>DT!L6</f>
        <v>0.98099999999999998</v>
      </c>
    </row>
    <row r="78" spans="1:8" x14ac:dyDescent="0.35">
      <c r="A78" s="9">
        <v>10</v>
      </c>
      <c r="B78" s="94"/>
      <c r="C78" s="25">
        <f>'TC-1'!L7</f>
        <v>89.2</v>
      </c>
      <c r="D78" s="25">
        <f>'TC-2'!L7</f>
        <v>90</v>
      </c>
      <c r="E78" s="25">
        <f>'SC-1'!L7</f>
        <v>12.1</v>
      </c>
      <c r="F78" s="25">
        <f>'SC-2'!L7</f>
        <v>13.1</v>
      </c>
      <c r="G78" s="7">
        <f>WG!L7</f>
        <v>24.3</v>
      </c>
      <c r="H78" s="7">
        <f>DT!L7</f>
        <v>0.98199999999999998</v>
      </c>
    </row>
    <row r="79" spans="1:8" x14ac:dyDescent="0.35">
      <c r="A79" s="9">
        <v>10</v>
      </c>
      <c r="B79" s="94"/>
      <c r="C79" s="25">
        <f>'TC-1'!L8</f>
        <v>91.4</v>
      </c>
      <c r="D79" s="25">
        <f>'TC-2'!L8</f>
        <v>92.2</v>
      </c>
      <c r="E79" s="25">
        <f>'SC-1'!L8</f>
        <v>12.4</v>
      </c>
      <c r="F79" s="25">
        <f>'SC-2'!L8</f>
        <v>13.3</v>
      </c>
      <c r="G79" s="7">
        <f>WG!L8</f>
        <v>25.1</v>
      </c>
      <c r="H79" s="7">
        <f>DT!L8</f>
        <v>0.97199999999999998</v>
      </c>
    </row>
    <row r="80" spans="1:8" x14ac:dyDescent="0.35">
      <c r="A80" s="9">
        <v>10</v>
      </c>
      <c r="B80" s="94"/>
      <c r="C80" s="25">
        <f>'TC-1'!L9</f>
        <v>91.4</v>
      </c>
      <c r="D80" s="25">
        <f>'TC-2'!L9</f>
        <v>92.2</v>
      </c>
      <c r="E80" s="25">
        <f>'SC-1'!L9</f>
        <v>12.4</v>
      </c>
      <c r="F80" s="25">
        <f>'SC-2'!L9</f>
        <v>13.5</v>
      </c>
      <c r="G80" s="7">
        <f>WG!L9</f>
        <v>25.1</v>
      </c>
      <c r="H80" s="7">
        <f>DT!L9</f>
        <v>0.98199999999999998</v>
      </c>
    </row>
    <row r="81" spans="1:8" x14ac:dyDescent="0.35">
      <c r="A81" s="9">
        <v>10</v>
      </c>
      <c r="B81" s="94"/>
      <c r="C81" s="25">
        <f>'TC-1'!L10</f>
        <v>92</v>
      </c>
      <c r="D81" s="25">
        <f>'TC-2'!L10</f>
        <v>92.2</v>
      </c>
      <c r="E81" s="25">
        <f>'SC-1'!L10</f>
        <v>12.4</v>
      </c>
      <c r="F81" s="25">
        <f>'SC-2'!L10</f>
        <v>13.4</v>
      </c>
      <c r="G81" s="7">
        <f>WG!L10</f>
        <v>25.1</v>
      </c>
      <c r="H81" s="7">
        <f>DT!L10</f>
        <v>1.01</v>
      </c>
    </row>
    <row r="82" spans="1:8" x14ac:dyDescent="0.35">
      <c r="A82" s="9">
        <v>10</v>
      </c>
      <c r="B82" s="90"/>
      <c r="C82" s="25">
        <f>'TC-1'!L11</f>
        <v>92.1</v>
      </c>
      <c r="D82" s="25">
        <f>'TC-2'!L11</f>
        <v>92.2</v>
      </c>
      <c r="E82" s="25">
        <f>'SC-1'!L11</f>
        <v>12.4</v>
      </c>
      <c r="F82" s="25">
        <f>'SC-2'!L11</f>
        <v>13.5</v>
      </c>
      <c r="G82" s="7">
        <f>WG!L11</f>
        <v>25.2</v>
      </c>
      <c r="H82" s="7">
        <f>DT!L11</f>
        <v>1.01</v>
      </c>
    </row>
    <row r="83" spans="1:8" x14ac:dyDescent="0.35">
      <c r="A83" s="9">
        <v>11</v>
      </c>
      <c r="B83" s="97">
        <v>11</v>
      </c>
      <c r="C83" s="25">
        <f>'TC-1'!M4</f>
        <v>85.8</v>
      </c>
      <c r="D83" s="25">
        <f>'TC-2'!M4</f>
        <v>85.9</v>
      </c>
      <c r="E83" s="25">
        <f>'SC-1'!M4</f>
        <v>12</v>
      </c>
      <c r="F83" s="25">
        <f>'SC-2'!M4</f>
        <v>12</v>
      </c>
      <c r="G83" s="7">
        <f>WG!M4</f>
        <v>25.2</v>
      </c>
      <c r="H83" s="65">
        <f>DT!M4</f>
        <v>0.254</v>
      </c>
    </row>
    <row r="84" spans="1:8" x14ac:dyDescent="0.35">
      <c r="A84" s="9">
        <v>11</v>
      </c>
      <c r="B84" s="94"/>
      <c r="C84" s="25">
        <f>'TC-1'!M5</f>
        <v>85.9</v>
      </c>
      <c r="D84" s="25">
        <f>'TC-2'!M5</f>
        <v>85.8</v>
      </c>
      <c r="E84" s="25">
        <f>'SC-1'!M5</f>
        <v>12</v>
      </c>
      <c r="F84" s="25">
        <f>'SC-2'!M5</f>
        <v>12</v>
      </c>
      <c r="G84" s="7">
        <f>WG!M5</f>
        <v>25.4</v>
      </c>
      <c r="H84" s="65">
        <f>DT!M5</f>
        <v>0.254</v>
      </c>
    </row>
    <row r="85" spans="1:8" x14ac:dyDescent="0.35">
      <c r="A85" s="9">
        <v>11</v>
      </c>
      <c r="B85" s="94"/>
      <c r="C85" s="25">
        <f>'TC-1'!M6</f>
        <v>85.4</v>
      </c>
      <c r="D85" s="25">
        <f>'TC-2'!M6</f>
        <v>85.8</v>
      </c>
      <c r="E85" s="25">
        <f>'SC-1'!M6</f>
        <v>12</v>
      </c>
      <c r="F85" s="25">
        <f>'SC-2'!M6</f>
        <v>12.8</v>
      </c>
      <c r="G85" s="7">
        <f>WG!M6</f>
        <v>25.2</v>
      </c>
      <c r="H85" s="65">
        <f>DT!M6</f>
        <v>0.252</v>
      </c>
    </row>
    <row r="86" spans="1:8" x14ac:dyDescent="0.35">
      <c r="A86" s="9">
        <v>11</v>
      </c>
      <c r="B86" s="94"/>
      <c r="C86" s="25">
        <f>'TC-1'!M7</f>
        <v>85.7</v>
      </c>
      <c r="D86" s="25">
        <f>'TC-2'!M7</f>
        <v>85.8</v>
      </c>
      <c r="E86" s="25">
        <f>'SC-1'!M7</f>
        <v>12</v>
      </c>
      <c r="F86" s="25">
        <f>'SC-2'!M7</f>
        <v>12.8</v>
      </c>
      <c r="G86" s="7">
        <f>WG!M7</f>
        <v>25.2</v>
      </c>
      <c r="H86" s="65">
        <f>DT!M7</f>
        <v>0.254</v>
      </c>
    </row>
    <row r="87" spans="1:8" x14ac:dyDescent="0.35">
      <c r="A87" s="9">
        <v>11</v>
      </c>
      <c r="B87" s="94"/>
      <c r="C87" s="25">
        <f>'TC-1'!M8</f>
        <v>85.3</v>
      </c>
      <c r="D87" s="25">
        <f>'TC-2'!M8</f>
        <v>85.5</v>
      </c>
      <c r="E87" s="25">
        <f>'SC-1'!M8</f>
        <v>12</v>
      </c>
      <c r="F87" s="25">
        <f>'SC-2'!M8</f>
        <v>12.6</v>
      </c>
      <c r="G87" s="7">
        <f>WG!M8</f>
        <v>25.2</v>
      </c>
      <c r="H87" s="65">
        <f>DT!M8</f>
        <v>0.32600000000000001</v>
      </c>
    </row>
    <row r="88" spans="1:8" x14ac:dyDescent="0.35">
      <c r="A88" s="9">
        <v>11</v>
      </c>
      <c r="B88" s="94"/>
      <c r="C88" s="25">
        <f>'TC-1'!M9</f>
        <v>85.4</v>
      </c>
      <c r="D88" s="25">
        <f>'TC-2'!M9</f>
        <v>85.9</v>
      </c>
      <c r="E88" s="25">
        <f>'SC-1'!M9</f>
        <v>12</v>
      </c>
      <c r="F88" s="25">
        <f>'SC-2'!M9</f>
        <v>12.4</v>
      </c>
      <c r="G88" s="7">
        <f>WG!M9</f>
        <v>25.2</v>
      </c>
      <c r="H88" s="65">
        <f>DT!M9</f>
        <v>0.32400000000000001</v>
      </c>
    </row>
    <row r="89" spans="1:8" x14ac:dyDescent="0.35">
      <c r="A89" s="9">
        <v>11</v>
      </c>
      <c r="B89" s="94"/>
      <c r="C89" s="25">
        <f>'TC-1'!M10</f>
        <v>85.4</v>
      </c>
      <c r="D89" s="25">
        <f>'TC-2'!M10</f>
        <v>85.4</v>
      </c>
      <c r="E89" s="25">
        <f>'SC-1'!M10</f>
        <v>12</v>
      </c>
      <c r="F89" s="25">
        <f>'SC-2'!M10</f>
        <v>12.5</v>
      </c>
      <c r="G89" s="7">
        <f>WG!M10</f>
        <v>24.9</v>
      </c>
      <c r="H89" s="65">
        <f>DT!M10</f>
        <v>0.25</v>
      </c>
    </row>
    <row r="90" spans="1:8" x14ac:dyDescent="0.35">
      <c r="A90" s="9">
        <v>11</v>
      </c>
      <c r="B90" s="90"/>
      <c r="C90" s="25">
        <f>'TC-1'!M11</f>
        <v>85.6</v>
      </c>
      <c r="D90" s="25">
        <f>'TC-2'!M11</f>
        <v>85.9</v>
      </c>
      <c r="E90" s="25">
        <f>'SC-1'!M11</f>
        <v>12</v>
      </c>
      <c r="F90" s="25">
        <f>'SC-2'!M11</f>
        <v>12.9</v>
      </c>
      <c r="G90" s="7">
        <f>WG!M11</f>
        <v>25</v>
      </c>
      <c r="H90" s="65">
        <f>DT!M11</f>
        <v>0.25</v>
      </c>
    </row>
  </sheetData>
  <mergeCells count="39">
    <mergeCell ref="B67:B74"/>
    <mergeCell ref="B75:B82"/>
    <mergeCell ref="B83:B90"/>
    <mergeCell ref="S18:T18"/>
    <mergeCell ref="U18:V18"/>
    <mergeCell ref="B43:B50"/>
    <mergeCell ref="B51:B58"/>
    <mergeCell ref="B59:B66"/>
    <mergeCell ref="B35:B42"/>
    <mergeCell ref="J18:J19"/>
    <mergeCell ref="K18:L18"/>
    <mergeCell ref="AF1:AI1"/>
    <mergeCell ref="AH12:AH13"/>
    <mergeCell ref="AH10:AH11"/>
    <mergeCell ref="S2:T2"/>
    <mergeCell ref="U2:V2"/>
    <mergeCell ref="K1:V1"/>
    <mergeCell ref="K2:L2"/>
    <mergeCell ref="C1:F1"/>
    <mergeCell ref="B3:B10"/>
    <mergeCell ref="B11:B18"/>
    <mergeCell ref="B19:B26"/>
    <mergeCell ref="B27:B34"/>
    <mergeCell ref="K17:V17"/>
    <mergeCell ref="J2:J3"/>
    <mergeCell ref="M2:N2"/>
    <mergeCell ref="M18:N18"/>
    <mergeCell ref="O18:P18"/>
    <mergeCell ref="Q18:R18"/>
    <mergeCell ref="O2:P2"/>
    <mergeCell ref="Q2:R2"/>
    <mergeCell ref="Y31:Z31"/>
    <mergeCell ref="AA31:AB31"/>
    <mergeCell ref="Y32:Z32"/>
    <mergeCell ref="AA32:AB32"/>
    <mergeCell ref="X19:AA19"/>
    <mergeCell ref="X20:AA20"/>
    <mergeCell ref="X21:AA21"/>
    <mergeCell ref="X22:AA22"/>
  </mergeCells>
  <conditionalFormatting sqref="AG6:AJ7">
    <cfRule type="cellIs" dxfId="23" priority="10" operator="between">
      <formula>$AG$2</formula>
      <formula>$AI$2</formula>
    </cfRule>
    <cfRule type="cellIs" dxfId="22" priority="11" operator="lessThan">
      <formula>$AI$2</formula>
    </cfRule>
    <cfRule type="cellIs" dxfId="21" priority="12" operator="greaterThan">
      <formula>$AG$2</formula>
    </cfRule>
  </conditionalFormatting>
  <conditionalFormatting sqref="AK6:AK7">
    <cfRule type="cellIs" dxfId="20" priority="7" operator="between">
      <formula>$AG$2</formula>
      <formula>$AI$2</formula>
    </cfRule>
    <cfRule type="cellIs" dxfId="19" priority="8" operator="lessThan">
      <formula>$AI$2</formula>
    </cfRule>
    <cfRule type="cellIs" dxfId="18" priority="9" operator="greaterThan">
      <formula>$AG$2</formula>
    </cfRule>
  </conditionalFormatting>
  <conditionalFormatting sqref="AL7">
    <cfRule type="cellIs" dxfId="17" priority="4" operator="between">
      <formula>$AG$2</formula>
      <formula>$AI$2</formula>
    </cfRule>
    <cfRule type="cellIs" dxfId="16" priority="5" operator="lessThan">
      <formula>$AI$2</formula>
    </cfRule>
    <cfRule type="cellIs" dxfId="15" priority="6" operator="greaterThan">
      <formula>$AG$2</formula>
    </cfRule>
  </conditionalFormatting>
  <conditionalFormatting sqref="AL6">
    <cfRule type="cellIs" dxfId="14" priority="1" operator="between">
      <formula>$AG$2</formula>
      <formula>$AI$2</formula>
    </cfRule>
    <cfRule type="cellIs" dxfId="13" priority="2" operator="lessThan">
      <formula>$AI$2</formula>
    </cfRule>
    <cfRule type="cellIs" dxfId="12" priority="3" operator="greaterThan">
      <formula>$AG$2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73FA-ADB4-4566-A187-169B4E8D8C22}">
  <dimension ref="A1:AL90"/>
  <sheetViews>
    <sheetView tabSelected="1" topLeftCell="S1" zoomScale="80" zoomScaleNormal="80" workbookViewId="0">
      <selection activeCell="U4" sqref="U4:U13"/>
    </sheetView>
  </sheetViews>
  <sheetFormatPr defaultColWidth="9.1796875" defaultRowHeight="14.5" x14ac:dyDescent="0.35"/>
  <cols>
    <col min="1" max="10" width="9.1796875" style="57"/>
    <col min="11" max="11" width="10.453125" style="57" bestFit="1" customWidth="1"/>
    <col min="12" max="12" width="9.1796875" style="57"/>
    <col min="13" max="13" width="10.6328125" style="57" bestFit="1" customWidth="1"/>
    <col min="14" max="14" width="9.1796875" style="57"/>
    <col min="15" max="15" width="10.453125" style="57" bestFit="1" customWidth="1"/>
    <col min="16" max="16" width="9.1796875" style="57"/>
    <col min="17" max="17" width="10.453125" style="57" bestFit="1" customWidth="1"/>
    <col min="18" max="23" width="9.1796875" style="57"/>
    <col min="24" max="24" width="14.6328125" style="57" customWidth="1"/>
    <col min="25" max="28" width="9.1796875" style="57"/>
    <col min="29" max="29" width="12.36328125" style="57" bestFit="1" customWidth="1"/>
    <col min="30" max="30" width="10.81640625" style="57" bestFit="1" customWidth="1"/>
    <col min="31" max="31" width="9.1796875" style="57"/>
    <col min="32" max="32" width="20.1796875" style="57" customWidth="1"/>
    <col min="33" max="33" width="9.453125" style="57" bestFit="1" customWidth="1"/>
    <col min="34" max="16384" width="9.1796875" style="57"/>
  </cols>
  <sheetData>
    <row r="1" spans="1:38" ht="15" customHeight="1" x14ac:dyDescent="0.35">
      <c r="C1" s="89" t="s">
        <v>39</v>
      </c>
      <c r="D1" s="89"/>
      <c r="E1" s="89"/>
      <c r="F1" s="89"/>
      <c r="G1" s="5"/>
      <c r="H1" s="5"/>
      <c r="J1" s="56" t="s">
        <v>43</v>
      </c>
      <c r="K1" s="87" t="s">
        <v>39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Y1" s="14" t="s">
        <v>35</v>
      </c>
      <c r="Z1" s="14" t="s">
        <v>36</v>
      </c>
      <c r="AA1" s="14" t="s">
        <v>37</v>
      </c>
      <c r="AB1" s="14" t="s">
        <v>38</v>
      </c>
      <c r="AC1" s="48" t="s">
        <v>178</v>
      </c>
      <c r="AD1" s="48" t="s">
        <v>179</v>
      </c>
      <c r="AF1" s="95" t="s">
        <v>62</v>
      </c>
      <c r="AG1" s="95"/>
      <c r="AH1" s="95"/>
      <c r="AI1" s="95"/>
    </row>
    <row r="2" spans="1:38" x14ac:dyDescent="0.35">
      <c r="A2" s="57" t="s">
        <v>0</v>
      </c>
      <c r="B2" s="7" t="s">
        <v>34</v>
      </c>
      <c r="C2" s="7" t="s">
        <v>35</v>
      </c>
      <c r="D2" s="7" t="s">
        <v>36</v>
      </c>
      <c r="E2" s="7" t="s">
        <v>37</v>
      </c>
      <c r="F2" s="7" t="s">
        <v>38</v>
      </c>
      <c r="G2" s="7" t="s">
        <v>178</v>
      </c>
      <c r="H2" s="7" t="s">
        <v>179</v>
      </c>
      <c r="J2" s="89" t="s">
        <v>34</v>
      </c>
      <c r="K2" s="96" t="s">
        <v>35</v>
      </c>
      <c r="L2" s="92"/>
      <c r="M2" s="91" t="s">
        <v>36</v>
      </c>
      <c r="N2" s="92"/>
      <c r="O2" s="91" t="s">
        <v>37</v>
      </c>
      <c r="P2" s="92"/>
      <c r="Q2" s="91" t="s">
        <v>38</v>
      </c>
      <c r="R2" s="92"/>
      <c r="S2" s="91" t="s">
        <v>178</v>
      </c>
      <c r="T2" s="92"/>
      <c r="U2" s="91" t="s">
        <v>179</v>
      </c>
      <c r="V2" s="92"/>
      <c r="X2" s="15" t="s">
        <v>45</v>
      </c>
      <c r="Y2" s="14">
        <f>SUM(L4*K4,L5*K5,L6*K6,L7*K7,L8*K8,L9*K9,L11*K11,L10*K10,L12*K12,L13*K13,L14*K14)</f>
        <v>7900.3</v>
      </c>
      <c r="Z2" s="14">
        <f>SUM(N4*M4,N5*M5,N6*M6,N7*M7,N8*M8,N9*M9,N11*M11,N10*M10,N12*M12,N13*M13,N14*M14)</f>
        <v>7877.9000000000005</v>
      </c>
      <c r="AA2" s="14">
        <f>SUM(P4*O4,P5*O5,P6*O6,P7*O7,P8*O8,P9*O9,P11*O11,P10*O10,P12*O12,P13*O13,P14*O14)</f>
        <v>1052.4000000000001</v>
      </c>
      <c r="AB2" s="14">
        <f>SUM(R5*Q5,R6*Q6,R7*Q7,R8*Q8,R9*Q9,R11*Q11,R10*Q10,R12*Q12,R13*Q13,R14*Q14)</f>
        <v>1020.6</v>
      </c>
      <c r="AC2" s="14">
        <f>SUM(T4*S4,T5*S5,T6*S6,T7*S7,T8*S8,T9*S9,T11*S11,T10*S10,T12*S12,T13*S13,T14*S14)</f>
        <v>2157.2999999999997</v>
      </c>
      <c r="AD2" s="14">
        <f>SUM(V4*U4,V5*U5,V6*U6,V7*U7,V8*U8,V9*U9,V11*U11,V10*U10,V12*U12,V13*U13)</f>
        <v>76.727000000000004</v>
      </c>
      <c r="AF2" s="57" t="s">
        <v>63</v>
      </c>
      <c r="AG2" s="57">
        <v>2.41</v>
      </c>
      <c r="AH2" s="57" t="s">
        <v>64</v>
      </c>
      <c r="AI2" s="57">
        <v>2.1760000000000002</v>
      </c>
    </row>
    <row r="3" spans="1:38" ht="16.5" x14ac:dyDescent="0.35">
      <c r="A3" s="57">
        <v>1</v>
      </c>
      <c r="B3" s="93">
        <v>1</v>
      </c>
      <c r="C3" s="8">
        <f>'TC-1'!C4</f>
        <v>87.1</v>
      </c>
      <c r="D3" s="8">
        <f>'TC-2'!C4</f>
        <v>89.1</v>
      </c>
      <c r="E3" s="8">
        <f>'SC-1'!C4</f>
        <v>11.9</v>
      </c>
      <c r="F3" s="8">
        <f>'SC-2'!C4</f>
        <v>14.1</v>
      </c>
      <c r="G3" s="25">
        <f>WG!C4</f>
        <v>24.6</v>
      </c>
      <c r="H3" s="25">
        <f>DT!C4</f>
        <v>1.06</v>
      </c>
      <c r="J3" s="90"/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X3" s="16" t="s">
        <v>46</v>
      </c>
      <c r="Y3" s="21">
        <f>SUM(L4*K4^2,L5*K5^2,L6*K6^2,L7*K7^2,L8*K8^2,L9*K9^2,L11*K11^2,L12*K12^2,L10*K10^2,L13*K13^2,L14*K14^2)</f>
        <v>709606.02874999994</v>
      </c>
      <c r="Z3" s="21">
        <f>SUM(N4*M4^2,N5*M5^2,N7*M7^2,N8*M8^2,N9*M9^2,N11*M11^2,N12*M12^2,N6*M6^2,N10*M10^2,N13*M13^2,N14*M14^2)</f>
        <v>705542.78125000012</v>
      </c>
      <c r="AA3" s="21">
        <f>SUM(P4*O4^2,P5*O5^2,P6*O6^2,P7*O7^2,P8*O8^2,P9*O9^2,P11*O11^2,P12*O12^2,P10*O10^2,P13*O13^2,P14*O14^2)</f>
        <v>12589.7775</v>
      </c>
      <c r="AB3" s="17">
        <f>SUM(R5*Q5^2,R7*Q7^2,R8*Q8^2,R9*Q9^2,R11*Q11^2,R12*Q12^2,R6*Q6^2,R10*Q10^2,R13*Q13^2,R14*Q14^2)</f>
        <v>13024.55</v>
      </c>
      <c r="AC3" s="17">
        <f>SUM(T4*S4^2,T5*S5^2,T7*S7^2,T8*S8^2,T9*S9^2,T11*S11^2,T12*S12^2,T6*S6^2,T10*S10^2,T13*S13^2,T14*S14^2)</f>
        <v>52897.106250000004</v>
      </c>
      <c r="AD3" s="17">
        <f>SUM(V4*U4^2,V5*U5^2,V7*U7^2,V8*U8^2,V9*U9^2,V11*U11^2,V12*U12^2,V6*U6^2,V10*U10^2,V13*U13^2)</f>
        <v>73.800656375000003</v>
      </c>
      <c r="AG3" s="57" t="s">
        <v>35</v>
      </c>
      <c r="AH3" s="57" t="s">
        <v>36</v>
      </c>
      <c r="AI3" s="57" t="s">
        <v>37</v>
      </c>
      <c r="AJ3" s="57" t="s">
        <v>38</v>
      </c>
      <c r="AK3" s="57" t="s">
        <v>178</v>
      </c>
      <c r="AL3" s="57" t="s">
        <v>179</v>
      </c>
    </row>
    <row r="4" spans="1:38" x14ac:dyDescent="0.35">
      <c r="A4" s="57">
        <v>1</v>
      </c>
      <c r="B4" s="93"/>
      <c r="C4" s="8">
        <f>'TC-1'!C5</f>
        <v>86.4</v>
      </c>
      <c r="D4" s="8">
        <f>'TC-2'!C5</f>
        <v>88.1</v>
      </c>
      <c r="E4" s="8">
        <f>'SC-1'!C5</f>
        <v>11.9</v>
      </c>
      <c r="F4" s="8">
        <f>'SC-2'!C5</f>
        <v>14</v>
      </c>
      <c r="G4" s="25">
        <f>WG!C5</f>
        <v>24.5</v>
      </c>
      <c r="H4" s="25">
        <f>DT!C5</f>
        <v>1.05</v>
      </c>
      <c r="J4" s="57">
        <v>1</v>
      </c>
      <c r="K4" s="29">
        <f>AVERAGE(C$3:C$10)</f>
        <v>88.05</v>
      </c>
      <c r="L4" s="29">
        <v>8</v>
      </c>
      <c r="M4" s="29">
        <f>AVERAGE(D$3:D$10)</f>
        <v>88.75</v>
      </c>
      <c r="N4" s="29">
        <v>8</v>
      </c>
      <c r="O4" s="29">
        <f>AVERAGE(E$3:E$10)</f>
        <v>11.974999999999998</v>
      </c>
      <c r="P4" s="29">
        <v>8</v>
      </c>
      <c r="Q4" s="73" t="s">
        <v>187</v>
      </c>
      <c r="R4" s="29">
        <v>8</v>
      </c>
      <c r="S4" s="29">
        <f>AVERAGE(G$3:G$10)</f>
        <v>24.337500000000002</v>
      </c>
      <c r="T4" s="29">
        <v>8</v>
      </c>
      <c r="U4" s="11">
        <f>AVERAGE(H$3:H$10)</f>
        <v>1.0153750000000001</v>
      </c>
      <c r="V4" s="29">
        <v>8</v>
      </c>
      <c r="W4" s="6"/>
      <c r="X4" s="16" t="s">
        <v>47</v>
      </c>
      <c r="Y4" s="21">
        <f>SUM(L4:L14)</f>
        <v>88</v>
      </c>
      <c r="Z4" s="21">
        <f>SUM(N4:N14)</f>
        <v>88</v>
      </c>
      <c r="AA4" s="21">
        <f>SUM(P4:P14)</f>
        <v>88</v>
      </c>
      <c r="AB4" s="17">
        <f>SUM(R5:R14)</f>
        <v>80</v>
      </c>
      <c r="AC4" s="54">
        <f>SUM(T4:T14)</f>
        <v>88</v>
      </c>
      <c r="AD4" s="54">
        <f>SUM(V4:V13)</f>
        <v>80</v>
      </c>
      <c r="AF4" s="57" t="s">
        <v>65</v>
      </c>
      <c r="AG4" s="6">
        <f>MIN(K4:K14)</f>
        <v>85.5625</v>
      </c>
      <c r="AH4" s="6">
        <f>MIN(M4:M14)</f>
        <v>85.75</v>
      </c>
      <c r="AI4" s="6">
        <f>MIN(O4:O14)</f>
        <v>11.637499999999999</v>
      </c>
      <c r="AJ4" s="6">
        <f>MIN(Q4:Q14)</f>
        <v>12.450000000000001</v>
      </c>
      <c r="AK4" s="6">
        <f>MIN(S4:S14)</f>
        <v>24.037499999999998</v>
      </c>
      <c r="AL4" s="6">
        <f>MIN(U4:U14)</f>
        <v>0.85925000000000007</v>
      </c>
    </row>
    <row r="5" spans="1:38" x14ac:dyDescent="0.35">
      <c r="A5" s="57">
        <v>1</v>
      </c>
      <c r="B5" s="93"/>
      <c r="C5" s="8">
        <f>'TC-1'!C6</f>
        <v>87.5</v>
      </c>
      <c r="D5" s="8">
        <f>'TC-2'!C6</f>
        <v>89.4</v>
      </c>
      <c r="E5" s="8">
        <f>'SC-1'!C6</f>
        <v>11.9</v>
      </c>
      <c r="F5" s="8">
        <f>'SC-2'!C6</f>
        <v>14.4</v>
      </c>
      <c r="G5" s="25">
        <f>WG!C6</f>
        <v>24.6</v>
      </c>
      <c r="H5" s="25">
        <f>DT!C6</f>
        <v>1.04</v>
      </c>
      <c r="J5" s="57">
        <v>2</v>
      </c>
      <c r="K5" s="29">
        <f>AVERAGE(C$11:C$18)</f>
        <v>89.65</v>
      </c>
      <c r="L5" s="29">
        <v>8</v>
      </c>
      <c r="M5" s="29">
        <f>AVERAGE(D$11:D$18)</f>
        <v>89.987499999999997</v>
      </c>
      <c r="N5" s="29">
        <v>8</v>
      </c>
      <c r="O5" s="29">
        <f>AVERAGE(E$11:E$18)</f>
        <v>12.0375</v>
      </c>
      <c r="P5" s="29">
        <v>8</v>
      </c>
      <c r="Q5" s="29">
        <f>AVERAGE(F$11:F$18)</f>
        <v>12.6875</v>
      </c>
      <c r="R5" s="29">
        <v>8</v>
      </c>
      <c r="S5" s="29">
        <f>AVERAGE(G$11:G$18)</f>
        <v>24.3125</v>
      </c>
      <c r="T5" s="29">
        <v>8</v>
      </c>
      <c r="U5" s="11">
        <f>AVERAGE(H$11:H$18)</f>
        <v>0.98587499999999995</v>
      </c>
      <c r="V5" s="29">
        <v>8</v>
      </c>
      <c r="X5" s="16" t="s">
        <v>48</v>
      </c>
      <c r="Y5" s="21">
        <f>SUMSQ(L4:L14)</f>
        <v>704</v>
      </c>
      <c r="Z5" s="21">
        <f>SUMSQ(N4:N14)</f>
        <v>704</v>
      </c>
      <c r="AA5" s="21">
        <f>SUMSQ(P4:P14)</f>
        <v>704</v>
      </c>
      <c r="AB5" s="17">
        <f>SUMSQ(R5:R14)</f>
        <v>640</v>
      </c>
      <c r="AC5" s="17">
        <f>SUMSQ(T4:T14)</f>
        <v>704</v>
      </c>
      <c r="AD5" s="17">
        <f>SUMSQ(V4:V13)</f>
        <v>640</v>
      </c>
      <c r="AF5" s="57" t="s">
        <v>66</v>
      </c>
      <c r="AG5" s="6">
        <f>MAX(K4:K14)</f>
        <v>94.174999999999997</v>
      </c>
      <c r="AH5" s="6">
        <f>MAX(M4:M14)</f>
        <v>92.575000000000003</v>
      </c>
      <c r="AI5" s="6">
        <f>MAX(O4:O14)</f>
        <v>12.250000000000002</v>
      </c>
      <c r="AJ5" s="6">
        <f>MAX(Q4:Q14)</f>
        <v>13.237500000000001</v>
      </c>
      <c r="AK5" s="6">
        <f>MAX(S4:S14)</f>
        <v>25.162500000000001</v>
      </c>
      <c r="AL5" s="6">
        <f>MAX(U4:U14)</f>
        <v>1.0153750000000001</v>
      </c>
    </row>
    <row r="6" spans="1:38" ht="16.5" x14ac:dyDescent="0.35">
      <c r="A6" s="57">
        <v>1</v>
      </c>
      <c r="B6" s="93"/>
      <c r="C6" s="8">
        <f>'TC-1'!C7</f>
        <v>87.9</v>
      </c>
      <c r="D6" s="8">
        <f>'TC-2'!C7</f>
        <v>89.4</v>
      </c>
      <c r="E6" s="8">
        <f>'SC-1'!C7</f>
        <v>11.9</v>
      </c>
      <c r="F6" s="8">
        <f>'SC-2'!C7</f>
        <v>14.4</v>
      </c>
      <c r="G6" s="25">
        <f>WG!C7</f>
        <v>24.6</v>
      </c>
      <c r="H6" s="25">
        <f>DT!C7</f>
        <v>1.04</v>
      </c>
      <c r="J6" s="57">
        <v>3</v>
      </c>
      <c r="K6" s="29">
        <f>AVERAGE(C$19:C$26)</f>
        <v>94.174999999999997</v>
      </c>
      <c r="L6" s="29">
        <v>8</v>
      </c>
      <c r="M6" s="29">
        <f>AVERAGE(D$19:D$26)</f>
        <v>92.575000000000003</v>
      </c>
      <c r="N6" s="29">
        <v>8</v>
      </c>
      <c r="O6" s="29">
        <f>AVERAGE(E$19:E$26)</f>
        <v>12.1875</v>
      </c>
      <c r="P6" s="29">
        <v>8</v>
      </c>
      <c r="Q6" s="29">
        <f>AVERAGE(F$19:F$26)</f>
        <v>12.850000000000001</v>
      </c>
      <c r="R6" s="29">
        <v>8</v>
      </c>
      <c r="S6" s="29">
        <f>AVERAGE(G$19:G$26)</f>
        <v>25.012499999999999</v>
      </c>
      <c r="T6" s="29">
        <v>8</v>
      </c>
      <c r="U6" s="11">
        <f>AVERAGE(H$19:H$26)</f>
        <v>0.96074999999999988</v>
      </c>
      <c r="V6" s="29">
        <v>8</v>
      </c>
      <c r="X6" s="16" t="s">
        <v>49</v>
      </c>
      <c r="Y6" s="21">
        <f>SUM(10*K20^2,10*K21^2,10*K22^2,10*K23^2,10*K24^2,10*K25^2,10*K27^2,10*K28^2,10*K26^2,10*K29^2,10*K30^2)</f>
        <v>106.57321428571423</v>
      </c>
      <c r="Z6" s="21">
        <f>SUM(10*M20^2,10*M21^2,10*M23^2,10*M24^2,10*M25^2,10*M27^2,10*M28^2,10*M22^2,10*M26^2,10*M29^2,10*M30^2)</f>
        <v>380.69821428571447</v>
      </c>
      <c r="AA6" s="21">
        <f>SUM(10*O20^2,10*O21^2,10*O22^2,10*O23^2,10*O24^2,10*O25^2,10*O27^2,10*O28^2,10*O26^2,10*O29^2,10*O30^2)</f>
        <v>6.1464285714285696</v>
      </c>
      <c r="AB6" s="17">
        <f>SUM(9*Q21^2,9*Q23^2,9*Q24^2,9*Q25^2,9*Q27^2,9*Q28^2,9*Q22^2,9*Q26^2,9*Q29^2,9*Q30^2)</f>
        <v>4.1271428571428608</v>
      </c>
      <c r="AC6" s="17">
        <f>SUM(10*S20^2,10*S21^2,10*S23^2,10*S24^2,10*S25^2,10*S27^2,10*S28^2,10*S22^2,10*S26^2,10*S29^2,10*S30^2)</f>
        <v>8.0053571428571537</v>
      </c>
      <c r="AD6" s="17">
        <f>SUM(9*U20^2,9*U21^2,9*U23^2,9*U24^2,9*U25^2,9*U27^2,9*U28^2,9*U22^2,9*U26^2,9*U29^2)</f>
        <v>0.40159366071428476</v>
      </c>
      <c r="AF6" s="57" t="s">
        <v>67</v>
      </c>
      <c r="AG6" s="11">
        <f>(AVERAGE($K$4:$K$14)-AG4)/STDEV($K$4:$K$14)</f>
        <v>2.0213918996955607</v>
      </c>
      <c r="AH6" s="11">
        <f>(AVERAGE($M$4:$M$14)-AH4)/STDEV($M$4:$M$14)</f>
        <v>1.9455662693882319</v>
      </c>
      <c r="AI6" s="11">
        <f>(AVERAGE($O$4:$O$14)-AI4)/STDEV($O$4:$O$14)</f>
        <v>1.4327947716514231</v>
      </c>
      <c r="AJ6" s="11">
        <f>(AVERAGE($Q$4:$Q$14)-AJ4)/STDEV($Q$4:$Q$14)</f>
        <v>1.2663301459845013</v>
      </c>
      <c r="AK6" s="11">
        <f>(AVERAGE($S$4:$S$14)-AK4)/STDEV($S$4:$S$14)</f>
        <v>1.2650453208990813</v>
      </c>
      <c r="AL6" s="11">
        <f>(AVERAGE($U$4:$U$14)-AL4)/STDEV($U$4:$U$14)</f>
        <v>1.8366457732405281</v>
      </c>
    </row>
    <row r="7" spans="1:38" ht="16.5" x14ac:dyDescent="0.35">
      <c r="A7" s="57">
        <v>1</v>
      </c>
      <c r="B7" s="93"/>
      <c r="C7" s="8">
        <f>'TC-1'!C8</f>
        <v>88.8</v>
      </c>
      <c r="D7" s="8">
        <f>'TC-2'!C8</f>
        <v>89.9</v>
      </c>
      <c r="E7" s="8">
        <f>'SC-1'!C8</f>
        <v>12</v>
      </c>
      <c r="F7" s="8">
        <f>'SC-2'!C8</f>
        <v>13.6</v>
      </c>
      <c r="G7" s="25">
        <f>WG!C8</f>
        <v>23.8</v>
      </c>
      <c r="H7" s="25">
        <f>DT!C8</f>
        <v>0.98199999999999998</v>
      </c>
      <c r="J7" s="57">
        <v>4</v>
      </c>
      <c r="K7" s="29">
        <f>AVERAGE(C$27:C$34)</f>
        <v>89.55</v>
      </c>
      <c r="L7" s="29">
        <v>8</v>
      </c>
      <c r="M7" s="29">
        <f>AVERAGE(D$27:D$34)</f>
        <v>88.562500000000014</v>
      </c>
      <c r="N7" s="29">
        <v>8</v>
      </c>
      <c r="O7" s="29">
        <f>AVERAGE(E$27:E$34)</f>
        <v>11.662500000000001</v>
      </c>
      <c r="P7" s="29">
        <v>8</v>
      </c>
      <c r="Q7" s="29">
        <f>AVERAGE(F$27:F$34)</f>
        <v>12.737500000000001</v>
      </c>
      <c r="R7" s="29">
        <v>8</v>
      </c>
      <c r="S7" s="29">
        <f>AVERAGE(G$27:G$34)</f>
        <v>24.037499999999998</v>
      </c>
      <c r="T7" s="29">
        <v>8</v>
      </c>
      <c r="U7" s="11">
        <f>AVERAGE(H$27:H$34)</f>
        <v>0.96062500000000006</v>
      </c>
      <c r="V7" s="29">
        <v>8</v>
      </c>
      <c r="X7" s="16" t="s">
        <v>51</v>
      </c>
      <c r="Y7" s="68">
        <v>11</v>
      </c>
      <c r="Z7" s="68">
        <v>11</v>
      </c>
      <c r="AA7" s="68">
        <v>11</v>
      </c>
      <c r="AB7" s="70">
        <v>10</v>
      </c>
      <c r="AC7" s="69">
        <v>11</v>
      </c>
      <c r="AD7" s="70">
        <v>10</v>
      </c>
      <c r="AF7" s="57" t="s">
        <v>68</v>
      </c>
      <c r="AG7" s="11">
        <f>ABS((AVERAGE($K$4:$K$14)-AG5)/STDEV($K$4:$K$14))</f>
        <v>2.1102502814782884</v>
      </c>
      <c r="AH7" s="11">
        <f>ABS((AVERAGE($M$4:$M$14)-AH5)/STDEV($M$4:$M$14))</f>
        <v>1.5750938734095079</v>
      </c>
      <c r="AI7" s="11">
        <f>ABS((AVERAGE($O$4:$O$14)-AI5)/STDEV($O$4:$O$14))</f>
        <v>1.2960970372535749</v>
      </c>
      <c r="AJ7" s="11">
        <f>ABS((AVERAGE($Q$4:$Q$14)-AJ5)/STDEV($Q$4:$Q$14))</f>
        <v>1.976710471780692</v>
      </c>
      <c r="AK7" s="11">
        <f>ABS((AVERAGE($S$4:$S$14)-AK5)/STDEV($S$4:$S$14))</f>
        <v>1.7168472212201951</v>
      </c>
      <c r="AL7" s="11">
        <f>ABS((AVERAGE($U$4:$U$14)-AL5)/STDEV($U$4:$U$14))</f>
        <v>1.0354846521725434</v>
      </c>
    </row>
    <row r="8" spans="1:38" ht="16.5" x14ac:dyDescent="0.35">
      <c r="A8" s="57">
        <v>1</v>
      </c>
      <c r="B8" s="93"/>
      <c r="C8" s="8">
        <f>'TC-1'!C9</f>
        <v>88.8</v>
      </c>
      <c r="D8" s="8">
        <f>'TC-2'!C9</f>
        <v>89.9</v>
      </c>
      <c r="E8" s="8">
        <f>'SC-1'!C9</f>
        <v>12</v>
      </c>
      <c r="F8" s="8">
        <f>'SC-2'!C9</f>
        <v>13.6</v>
      </c>
      <c r="G8" s="25">
        <f>WG!C9</f>
        <v>23.8</v>
      </c>
      <c r="H8" s="25">
        <f>DT!C9</f>
        <v>0.98199999999999998</v>
      </c>
      <c r="J8" s="57">
        <v>5</v>
      </c>
      <c r="K8" s="29">
        <f>AVERAGE(C$35:C$42)</f>
        <v>91.174999999999983</v>
      </c>
      <c r="L8" s="29">
        <v>8</v>
      </c>
      <c r="M8" s="29">
        <f>AVERAGE(D$35:D$42)</f>
        <v>90.975000000000009</v>
      </c>
      <c r="N8" s="29">
        <v>8</v>
      </c>
      <c r="O8" s="29">
        <f>AVERAGE(E$35:E$42)</f>
        <v>11.637499999999999</v>
      </c>
      <c r="P8" s="29">
        <v>8</v>
      </c>
      <c r="Q8" s="29">
        <f>AVERAGE(F$35:F$42)</f>
        <v>12.450000000000001</v>
      </c>
      <c r="R8" s="29">
        <v>8</v>
      </c>
      <c r="S8" s="29">
        <f>AVERAGE(G$35:G$42)</f>
        <v>24.362500000000001</v>
      </c>
      <c r="T8" s="29">
        <v>8</v>
      </c>
      <c r="U8" s="11">
        <f>AVERAGE(H$35:H$42)</f>
        <v>0.86587500000000006</v>
      </c>
      <c r="V8" s="29">
        <v>8</v>
      </c>
      <c r="X8" s="16" t="s">
        <v>50</v>
      </c>
      <c r="Y8" s="22">
        <f t="shared" ref="Y8:AC8" si="0">Y6/(Y4-Y7)</f>
        <v>1.3840677179962886</v>
      </c>
      <c r="Z8" s="22">
        <f t="shared" si="0"/>
        <v>4.9441326530612271</v>
      </c>
      <c r="AA8" s="22">
        <f t="shared" si="0"/>
        <v>7.9823747680890511E-2</v>
      </c>
      <c r="AB8" s="18">
        <f>AB6/(AB4-AB7)</f>
        <v>5.8959183673469438E-2</v>
      </c>
      <c r="AC8" s="18">
        <f t="shared" si="0"/>
        <v>0.10396567717996304</v>
      </c>
      <c r="AD8" s="18">
        <f>AD6/(AD4-AD7)</f>
        <v>5.7370522959183535E-3</v>
      </c>
    </row>
    <row r="9" spans="1:38" ht="16.5" x14ac:dyDescent="0.35">
      <c r="A9" s="57">
        <v>1</v>
      </c>
      <c r="B9" s="93"/>
      <c r="C9" s="8">
        <f>'TC-1'!C10</f>
        <v>89</v>
      </c>
      <c r="D9" s="8">
        <f>'TC-2'!C10</f>
        <v>87.2</v>
      </c>
      <c r="E9" s="8">
        <f>'SC-1'!C10</f>
        <v>12.1</v>
      </c>
      <c r="F9" s="8">
        <f>'SC-2'!C10</f>
        <v>13.8</v>
      </c>
      <c r="G9" s="25">
        <f>WG!C10</f>
        <v>24.4</v>
      </c>
      <c r="H9" s="25">
        <f>DT!C10</f>
        <v>0.98299999999999998</v>
      </c>
      <c r="J9" s="57">
        <v>6</v>
      </c>
      <c r="K9" s="29">
        <f>AVERAGE(C$43:C$50)</f>
        <v>88.975000000000009</v>
      </c>
      <c r="L9" s="29">
        <v>8</v>
      </c>
      <c r="M9" s="29">
        <f>AVERAGE(D$43:D$50)</f>
        <v>88.562500000000014</v>
      </c>
      <c r="N9" s="29">
        <v>8</v>
      </c>
      <c r="O9" s="29">
        <f>AVERAGE(E$43:E$50)</f>
        <v>11.662500000000001</v>
      </c>
      <c r="P9" s="29">
        <v>8</v>
      </c>
      <c r="Q9" s="29">
        <f>AVERAGE(F$43:F$50)</f>
        <v>12.737500000000001</v>
      </c>
      <c r="R9" s="29">
        <v>8</v>
      </c>
      <c r="S9" s="29">
        <f>AVERAGE(G$43:G$50)</f>
        <v>24.037499999999998</v>
      </c>
      <c r="T9" s="29">
        <v>8</v>
      </c>
      <c r="U9" s="11">
        <f>AVERAGE(H$43:H$50)</f>
        <v>0.96062500000000006</v>
      </c>
      <c r="V9" s="29">
        <v>8</v>
      </c>
      <c r="X9" s="16" t="s">
        <v>52</v>
      </c>
      <c r="Y9" s="22">
        <f t="shared" ref="Y9:AC9" si="1">(Y15/Y16-Y8)*(Y16/Y17)</f>
        <v>4.1722244897945213</v>
      </c>
      <c r="Z9" s="22">
        <f t="shared" si="1"/>
        <v>3.1399862592758869</v>
      </c>
      <c r="AA9" s="22">
        <f t="shared" si="1"/>
        <v>4.0399872448934615E-2</v>
      </c>
      <c r="AB9" s="18">
        <f>(AB15/AB16-AB8)*(AB16/AB17)</f>
        <v>5.1595379818576315E-2</v>
      </c>
      <c r="AC9" s="18">
        <f t="shared" si="1"/>
        <v>0.12934235853452916</v>
      </c>
      <c r="AD9" s="18">
        <f>(AD15/AD16-AD8)*(AD16/AD17)</f>
        <v>2.2377262755101119E-3</v>
      </c>
      <c r="AG9" s="57" t="s">
        <v>74</v>
      </c>
      <c r="AH9" s="6" t="s">
        <v>75</v>
      </c>
      <c r="AI9" s="6"/>
      <c r="AJ9" s="6"/>
    </row>
    <row r="10" spans="1:38" ht="16.5" x14ac:dyDescent="0.35">
      <c r="A10" s="57">
        <v>1</v>
      </c>
      <c r="B10" s="93"/>
      <c r="C10" s="25">
        <f>'TC-1'!C11</f>
        <v>88.9</v>
      </c>
      <c r="D10" s="25">
        <f>'TC-2'!C11</f>
        <v>87</v>
      </c>
      <c r="E10" s="25">
        <f>'SC-1'!C11</f>
        <v>12.1</v>
      </c>
      <c r="F10" s="25">
        <f>'SC-2'!C11</f>
        <v>13.7</v>
      </c>
      <c r="G10" s="25">
        <f>WG!C11</f>
        <v>24.4</v>
      </c>
      <c r="H10" s="25">
        <f>DT!C11</f>
        <v>0.98599999999999999</v>
      </c>
      <c r="J10" s="57">
        <v>7</v>
      </c>
      <c r="K10" s="29">
        <f>AVERAGE(C$51:C$58)</f>
        <v>89.887500000000003</v>
      </c>
      <c r="L10" s="29">
        <v>8</v>
      </c>
      <c r="M10" s="29">
        <f>AVERAGE(D$51:D$58)</f>
        <v>87.375</v>
      </c>
      <c r="N10" s="29">
        <v>8</v>
      </c>
      <c r="O10" s="29">
        <f>AVERAGE(E$51:E$58)</f>
        <v>11.874999999999998</v>
      </c>
      <c r="P10" s="29">
        <v>8</v>
      </c>
      <c r="Q10" s="29">
        <f>AVERAGE(F$51:F$58)</f>
        <v>12.625</v>
      </c>
      <c r="R10" s="29">
        <v>8</v>
      </c>
      <c r="S10" s="29">
        <f>AVERAGE(G$51:G$58)</f>
        <v>24.737500000000001</v>
      </c>
      <c r="T10" s="29">
        <v>8</v>
      </c>
      <c r="U10" s="11">
        <f>AVERAGE(H$51:H$58)</f>
        <v>0.98487500000000006</v>
      </c>
      <c r="V10" s="29">
        <v>8</v>
      </c>
      <c r="X10" s="16" t="s">
        <v>56</v>
      </c>
      <c r="Y10" s="22">
        <f t="shared" ref="Y10:AC10" si="2">Y8+Y9</f>
        <v>5.5562922077908095</v>
      </c>
      <c r="Z10" s="22">
        <f t="shared" si="2"/>
        <v>8.0841189123371144</v>
      </c>
      <c r="AA10" s="22">
        <f t="shared" si="2"/>
        <v>0.12022362012982513</v>
      </c>
      <c r="AB10" s="18">
        <f>AB8+AB9</f>
        <v>0.11055456349204576</v>
      </c>
      <c r="AC10" s="18">
        <f t="shared" si="2"/>
        <v>0.23330803571449221</v>
      </c>
      <c r="AD10" s="18">
        <f>AD8+AD9</f>
        <v>7.9747785714284654E-3</v>
      </c>
      <c r="AF10" s="57" t="s">
        <v>35</v>
      </c>
      <c r="AG10" s="57">
        <v>89.9</v>
      </c>
      <c r="AH10" s="80">
        <v>85.8</v>
      </c>
    </row>
    <row r="11" spans="1:38" x14ac:dyDescent="0.35">
      <c r="A11" s="57">
        <v>2</v>
      </c>
      <c r="B11" s="89">
        <v>2</v>
      </c>
      <c r="C11" s="25">
        <f>'TC-1'!D4</f>
        <v>89.3</v>
      </c>
      <c r="D11" s="25">
        <f>'TC-2'!D4</f>
        <v>89</v>
      </c>
      <c r="E11" s="25">
        <f>'SC-1'!D4</f>
        <v>11.9</v>
      </c>
      <c r="F11" s="25">
        <f>'SC-2'!D4</f>
        <v>12.7</v>
      </c>
      <c r="G11" s="25">
        <f>WG!D4</f>
        <v>24.3</v>
      </c>
      <c r="H11" s="25">
        <f>DT!D4</f>
        <v>0.96099999999999997</v>
      </c>
      <c r="J11" s="9">
        <v>8</v>
      </c>
      <c r="K11" s="29">
        <f>AVERAGE(C$59:C$66)</f>
        <v>89.862499999999997</v>
      </c>
      <c r="L11" s="29">
        <v>8</v>
      </c>
      <c r="M11" s="29">
        <f>AVERAGE(D$59:D$66)</f>
        <v>90.462499999999991</v>
      </c>
      <c r="N11" s="29">
        <v>8</v>
      </c>
      <c r="O11" s="29">
        <f>AVERAGE(E$59:E$66)</f>
        <v>12.05</v>
      </c>
      <c r="P11" s="29">
        <v>8</v>
      </c>
      <c r="Q11" s="29">
        <f>AVERAGE(F$59:F$66)</f>
        <v>12.674999999999999</v>
      </c>
      <c r="R11" s="29">
        <v>8</v>
      </c>
      <c r="S11" s="29">
        <f>AVERAGE(G$59:G$66)</f>
        <v>24.237499999999997</v>
      </c>
      <c r="T11" s="29">
        <v>8</v>
      </c>
      <c r="U11" s="11">
        <f>AVERAGE(H$59:H$66)</f>
        <v>0.85925000000000007</v>
      </c>
      <c r="V11" s="29">
        <v>8</v>
      </c>
      <c r="X11" s="16" t="s">
        <v>57</v>
      </c>
      <c r="Y11" s="22">
        <f>Y2/Y4</f>
        <v>89.776136363636368</v>
      </c>
      <c r="Z11" s="22">
        <f t="shared" ref="Z11:AC11" si="3">Z2/Z4</f>
        <v>89.521590909090918</v>
      </c>
      <c r="AA11" s="22">
        <f t="shared" si="3"/>
        <v>11.959090909090911</v>
      </c>
      <c r="AB11" s="18">
        <f>AB2/AB4</f>
        <v>12.7575</v>
      </c>
      <c r="AC11" s="55">
        <f t="shared" si="3"/>
        <v>24.514772727272724</v>
      </c>
      <c r="AD11" s="55">
        <f>AD2/AD4</f>
        <v>0.95908750000000009</v>
      </c>
      <c r="AF11" s="57" t="s">
        <v>36</v>
      </c>
      <c r="AG11" s="57">
        <v>88.7</v>
      </c>
      <c r="AH11" s="80"/>
    </row>
    <row r="12" spans="1:38" ht="16.5" x14ac:dyDescent="0.35">
      <c r="A12" s="57">
        <v>2</v>
      </c>
      <c r="B12" s="94"/>
      <c r="C12" s="25">
        <f>'TC-1'!D5</f>
        <v>89</v>
      </c>
      <c r="D12" s="25">
        <f>'TC-2'!D5</f>
        <v>89.1</v>
      </c>
      <c r="E12" s="25">
        <f>'SC-1'!D5</f>
        <v>12.2</v>
      </c>
      <c r="F12" s="25">
        <f>'SC-2'!D5</f>
        <v>12.7</v>
      </c>
      <c r="G12" s="25">
        <f>WG!D5</f>
        <v>24.3</v>
      </c>
      <c r="H12" s="25">
        <f>DT!D5</f>
        <v>0.97099999999999997</v>
      </c>
      <c r="J12" s="9">
        <v>9</v>
      </c>
      <c r="K12" s="29">
        <f>AVERAGE(C$67:C$74)</f>
        <v>90.125000000000014</v>
      </c>
      <c r="L12" s="29">
        <v>8</v>
      </c>
      <c r="M12" s="29">
        <f>AVERAGE(D$67:D$74)</f>
        <v>90.6</v>
      </c>
      <c r="N12" s="29">
        <v>8</v>
      </c>
      <c r="O12" s="29">
        <f>AVERAGE(E$67:E$74)</f>
        <v>12.2125</v>
      </c>
      <c r="P12" s="29">
        <v>8</v>
      </c>
      <c r="Q12" s="29">
        <f>AVERAGE(F$67:F$74)</f>
        <v>13.074999999999999</v>
      </c>
      <c r="R12" s="29">
        <v>8</v>
      </c>
      <c r="S12" s="29">
        <f>AVERAGE(G$67:G$74)</f>
        <v>24.700000000000003</v>
      </c>
      <c r="T12" s="29">
        <v>8</v>
      </c>
      <c r="U12" s="11">
        <f>AVERAGE(H$67:H$74)</f>
        <v>1.0093749999999999</v>
      </c>
      <c r="V12" s="29">
        <v>8</v>
      </c>
      <c r="X12" s="16" t="s">
        <v>58</v>
      </c>
      <c r="Y12" s="22">
        <f t="shared" ref="Y12:AC12" si="4">SQRT(Y8)</f>
        <v>1.1764640742480361</v>
      </c>
      <c r="Z12" s="22">
        <f t="shared" si="4"/>
        <v>2.2235405669924773</v>
      </c>
      <c r="AA12" s="22">
        <f t="shared" si="4"/>
        <v>0.28253096764937202</v>
      </c>
      <c r="AB12" s="18">
        <f>SQRT(AB8)</f>
        <v>0.24281512241511943</v>
      </c>
      <c r="AC12" s="18">
        <f t="shared" si="4"/>
        <v>0.32243709026717604</v>
      </c>
      <c r="AD12" s="18">
        <f>SQRT(AD8)</f>
        <v>7.5743331692752686E-2</v>
      </c>
      <c r="AF12" s="57" t="s">
        <v>37</v>
      </c>
      <c r="AG12" s="57">
        <v>11.8</v>
      </c>
      <c r="AH12" s="80">
        <v>11.7</v>
      </c>
    </row>
    <row r="13" spans="1:38" ht="16.5" x14ac:dyDescent="0.35">
      <c r="A13" s="57">
        <v>2</v>
      </c>
      <c r="B13" s="94"/>
      <c r="C13" s="25">
        <f>'TC-1'!D6</f>
        <v>89.1</v>
      </c>
      <c r="D13" s="25">
        <f>'TC-2'!D6</f>
        <v>90.5</v>
      </c>
      <c r="E13" s="25">
        <f>'SC-1'!D6</f>
        <v>11.9</v>
      </c>
      <c r="F13" s="25">
        <f>'SC-2'!D6</f>
        <v>12.7</v>
      </c>
      <c r="G13" s="25">
        <f>WG!D6</f>
        <v>24.3</v>
      </c>
      <c r="H13" s="25">
        <f>DT!D6</f>
        <v>0.98599999999999999</v>
      </c>
      <c r="J13" s="9">
        <v>10</v>
      </c>
      <c r="K13" s="29">
        <f>AVERAGE(C$75:C$82)</f>
        <v>90.525000000000006</v>
      </c>
      <c r="L13" s="29">
        <v>8</v>
      </c>
      <c r="M13" s="29">
        <f>AVERAGE(D$75:D$82)</f>
        <v>91.137500000000017</v>
      </c>
      <c r="N13" s="29">
        <v>8</v>
      </c>
      <c r="O13" s="29">
        <f>AVERAGE(E$75:E$82)</f>
        <v>12.250000000000002</v>
      </c>
      <c r="P13" s="29">
        <v>8</v>
      </c>
      <c r="Q13" s="29">
        <f>AVERAGE(F$75:F$82)</f>
        <v>13.237500000000001</v>
      </c>
      <c r="R13" s="29">
        <v>8</v>
      </c>
      <c r="S13" s="29">
        <f>AVERAGE(G$75:G$82)</f>
        <v>24.724999999999998</v>
      </c>
      <c r="T13" s="29">
        <v>8</v>
      </c>
      <c r="U13" s="11">
        <f>AVERAGE(H$75:H$82)</f>
        <v>0.98824999999999996</v>
      </c>
      <c r="V13" s="29">
        <v>8</v>
      </c>
      <c r="X13" s="19" t="s">
        <v>59</v>
      </c>
      <c r="Y13" s="23">
        <f t="shared" ref="Y13:AC13" si="5">SQRT(Y10)</f>
        <v>2.3571788663126116</v>
      </c>
      <c r="Z13" s="23">
        <f t="shared" si="5"/>
        <v>2.8432585025525055</v>
      </c>
      <c r="AA13" s="23">
        <f t="shared" si="5"/>
        <v>0.34673277913953438</v>
      </c>
      <c r="AB13" s="20">
        <f>SQRT(AB10)</f>
        <v>0.33249746388814122</v>
      </c>
      <c r="AC13" s="20">
        <f t="shared" si="5"/>
        <v>0.48301970530661814</v>
      </c>
      <c r="AD13" s="20">
        <f>SQRT(AD10)</f>
        <v>8.9301615726863903E-2</v>
      </c>
      <c r="AF13" s="57" t="s">
        <v>38</v>
      </c>
      <c r="AG13" s="57">
        <v>12.3</v>
      </c>
      <c r="AH13" s="80"/>
    </row>
    <row r="14" spans="1:38" x14ac:dyDescent="0.35">
      <c r="A14" s="57">
        <v>2</v>
      </c>
      <c r="B14" s="94"/>
      <c r="C14" s="25">
        <f>'TC-1'!D7</f>
        <v>88.6</v>
      </c>
      <c r="D14" s="25">
        <f>'TC-2'!D7</f>
        <v>89.2</v>
      </c>
      <c r="E14" s="25">
        <f>'SC-1'!D7</f>
        <v>11.9</v>
      </c>
      <c r="F14" s="25">
        <f>'SC-2'!D7</f>
        <v>12.7</v>
      </c>
      <c r="G14" s="25">
        <f>WG!D7</f>
        <v>24.2</v>
      </c>
      <c r="H14" s="25">
        <f>DT!D7</f>
        <v>0.98399999999999999</v>
      </c>
      <c r="J14" s="9">
        <v>11</v>
      </c>
      <c r="K14" s="29">
        <f>AVERAGE(C$83:C$90)</f>
        <v>85.5625</v>
      </c>
      <c r="L14" s="29">
        <v>8</v>
      </c>
      <c r="M14" s="29">
        <f>AVERAGE(D$83:D$90)</f>
        <v>85.75</v>
      </c>
      <c r="N14" s="29">
        <v>8</v>
      </c>
      <c r="O14" s="29">
        <f>AVERAGE(E$83:E$90)</f>
        <v>12</v>
      </c>
      <c r="P14" s="29">
        <v>8</v>
      </c>
      <c r="Q14" s="29">
        <f>AVERAGE(F$83:F$90)</f>
        <v>12.5</v>
      </c>
      <c r="R14" s="29">
        <v>8</v>
      </c>
      <c r="S14" s="29">
        <f>AVERAGE(G$83:G$90)</f>
        <v>25.162500000000001</v>
      </c>
      <c r="T14" s="29">
        <v>8</v>
      </c>
      <c r="U14" s="73" t="s">
        <v>187</v>
      </c>
      <c r="V14" s="74">
        <v>8</v>
      </c>
      <c r="X14"/>
      <c r="Y14"/>
      <c r="Z14"/>
      <c r="AA14"/>
      <c r="AB14"/>
      <c r="AC14"/>
      <c r="AD14"/>
      <c r="AF14" s="57" t="s">
        <v>178</v>
      </c>
      <c r="AG14" s="61"/>
      <c r="AH14" s="29">
        <v>25</v>
      </c>
    </row>
    <row r="15" spans="1:38" x14ac:dyDescent="0.35">
      <c r="A15" s="57">
        <v>2</v>
      </c>
      <c r="B15" s="94"/>
      <c r="C15" s="25">
        <f>'TC-1'!D8</f>
        <v>90.4</v>
      </c>
      <c r="D15" s="25">
        <f>'TC-2'!D8</f>
        <v>90.8</v>
      </c>
      <c r="E15" s="25">
        <f>'SC-1'!D8</f>
        <v>12.2</v>
      </c>
      <c r="F15" s="25">
        <f>'SC-2'!D8</f>
        <v>12.6</v>
      </c>
      <c r="G15" s="25">
        <f>WG!D8</f>
        <v>24.3</v>
      </c>
      <c r="H15" s="25">
        <f>DT!D8</f>
        <v>1.01</v>
      </c>
      <c r="J15" s="9"/>
      <c r="K15" s="6"/>
      <c r="M15" s="6"/>
      <c r="O15" s="6"/>
      <c r="Q15" s="6"/>
      <c r="X15" t="s">
        <v>53</v>
      </c>
      <c r="Y15">
        <f t="shared" ref="Y15:AC15" si="6">Y3*Y4-Y2^2</f>
        <v>30590.439999990165</v>
      </c>
      <c r="Z15">
        <f t="shared" si="6"/>
        <v>26456.339999996126</v>
      </c>
      <c r="AA15">
        <f t="shared" si="6"/>
        <v>354.65999999968335</v>
      </c>
      <c r="AB15">
        <f>AB3*AB4-AB2^2</f>
        <v>339.63999999989755</v>
      </c>
      <c r="AC15">
        <f t="shared" si="6"/>
        <v>1002.0600000014529</v>
      </c>
      <c r="AD15">
        <f>AD3*AD4-AD2^2</f>
        <v>17.019980999999461</v>
      </c>
      <c r="AF15" s="57" t="s">
        <v>179</v>
      </c>
      <c r="AG15" s="6">
        <v>1</v>
      </c>
      <c r="AH15" s="6">
        <v>1</v>
      </c>
    </row>
    <row r="16" spans="1:38" x14ac:dyDescent="0.35">
      <c r="A16" s="57">
        <v>2</v>
      </c>
      <c r="B16" s="94"/>
      <c r="C16" s="25">
        <f>'TC-1'!D9</f>
        <v>90.1</v>
      </c>
      <c r="D16" s="25">
        <f>'TC-2'!D9</f>
        <v>90.6</v>
      </c>
      <c r="E16" s="25">
        <f>'SC-1'!D9</f>
        <v>12.2</v>
      </c>
      <c r="F16" s="25">
        <f>'SC-2'!D9</f>
        <v>12.7</v>
      </c>
      <c r="G16" s="25">
        <f>WG!D9</f>
        <v>24.2</v>
      </c>
      <c r="H16" s="25">
        <f>DT!D9</f>
        <v>1</v>
      </c>
      <c r="X16" t="s">
        <v>54</v>
      </c>
      <c r="Y16">
        <f t="shared" ref="Y16:AC16" si="7">Y4*(Y7-1)</f>
        <v>880</v>
      </c>
      <c r="Z16">
        <f t="shared" si="7"/>
        <v>880</v>
      </c>
      <c r="AA16">
        <f t="shared" si="7"/>
        <v>880</v>
      </c>
      <c r="AB16">
        <f>AB4*(AB7-1)</f>
        <v>720</v>
      </c>
      <c r="AC16">
        <f t="shared" si="7"/>
        <v>880</v>
      </c>
      <c r="AD16">
        <f>AD4*(AD7-1)</f>
        <v>720</v>
      </c>
    </row>
    <row r="17" spans="1:35" x14ac:dyDescent="0.35">
      <c r="A17" s="57">
        <v>2</v>
      </c>
      <c r="B17" s="94"/>
      <c r="C17" s="25">
        <f>'TC-1'!D10</f>
        <v>90.5</v>
      </c>
      <c r="D17" s="25">
        <f>'TC-2'!D10</f>
        <v>90.4</v>
      </c>
      <c r="E17" s="25">
        <f>'SC-1'!D10</f>
        <v>12</v>
      </c>
      <c r="F17" s="25">
        <f>'SC-2'!D10</f>
        <v>12.7</v>
      </c>
      <c r="G17" s="25">
        <f>WG!D10</f>
        <v>24.4</v>
      </c>
      <c r="H17" s="25">
        <f>DT!D10</f>
        <v>0.98599999999999999</v>
      </c>
      <c r="J17" s="56" t="s">
        <v>44</v>
      </c>
      <c r="K17" s="87" t="s">
        <v>39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X17" t="s">
        <v>55</v>
      </c>
      <c r="Y17">
        <f t="shared" ref="Y17:AC17" si="8">Y4^2-Y5</f>
        <v>7040</v>
      </c>
      <c r="Z17">
        <f t="shared" si="8"/>
        <v>7040</v>
      </c>
      <c r="AA17">
        <f t="shared" si="8"/>
        <v>7040</v>
      </c>
      <c r="AB17">
        <f>AB4^2-AB5</f>
        <v>5760</v>
      </c>
      <c r="AC17" s="58">
        <f t="shared" si="8"/>
        <v>7040</v>
      </c>
      <c r="AD17" s="59">
        <f>AD4^2-AD5</f>
        <v>5760</v>
      </c>
      <c r="AG17" s="57" t="s">
        <v>71</v>
      </c>
      <c r="AH17" s="57" t="s">
        <v>72</v>
      </c>
      <c r="AI17" s="57" t="s">
        <v>73</v>
      </c>
    </row>
    <row r="18" spans="1:35" ht="15" thickBot="1" x14ac:dyDescent="0.4">
      <c r="A18" s="57">
        <v>2</v>
      </c>
      <c r="B18" s="94"/>
      <c r="C18" s="25">
        <f>'TC-1'!D11</f>
        <v>90.2</v>
      </c>
      <c r="D18" s="25">
        <f>'TC-2'!D11</f>
        <v>90.3</v>
      </c>
      <c r="E18" s="25">
        <f>'SC-1'!D11</f>
        <v>12</v>
      </c>
      <c r="F18" s="25">
        <f>'SC-2'!D11</f>
        <v>12.7</v>
      </c>
      <c r="G18" s="25">
        <f>WG!D11</f>
        <v>24.5</v>
      </c>
      <c r="H18" s="25">
        <f>DT!D11</f>
        <v>0.98899999999999999</v>
      </c>
      <c r="J18" s="89" t="s">
        <v>34</v>
      </c>
      <c r="K18" s="96" t="s">
        <v>35</v>
      </c>
      <c r="L18" s="92"/>
      <c r="M18" s="91" t="s">
        <v>36</v>
      </c>
      <c r="N18" s="92"/>
      <c r="O18" s="91" t="s">
        <v>37</v>
      </c>
      <c r="P18" s="92"/>
      <c r="Q18" s="91" t="s">
        <v>38</v>
      </c>
      <c r="R18" s="92"/>
      <c r="S18" s="91" t="s">
        <v>178</v>
      </c>
      <c r="T18" s="92"/>
      <c r="U18" s="91" t="s">
        <v>179</v>
      </c>
      <c r="V18" s="92"/>
      <c r="AC18" s="71" t="s">
        <v>178</v>
      </c>
      <c r="AD18" s="71" t="s">
        <v>179</v>
      </c>
      <c r="AF18" s="57" t="s">
        <v>35</v>
      </c>
      <c r="AG18" s="6">
        <f>STDEV(K4:K14)/AVERAGE(K4:K14)*100</f>
        <v>2.3219112794924386</v>
      </c>
      <c r="AH18" s="6">
        <f>2^(1-(0.5*LOG(Y11/100)))</f>
        <v>2.0327313306723793</v>
      </c>
      <c r="AI18" s="29">
        <f t="shared" ref="AI18:AI23" si="9">AG18/AH18</f>
        <v>1.1422617659582219</v>
      </c>
    </row>
    <row r="19" spans="1:35" ht="16.5" x14ac:dyDescent="0.35">
      <c r="A19" s="57">
        <v>3</v>
      </c>
      <c r="B19" s="89">
        <v>3</v>
      </c>
      <c r="C19" s="25">
        <f>'TC-1'!E4</f>
        <v>94.4</v>
      </c>
      <c r="D19" s="25">
        <f>'TC-2'!E4</f>
        <v>93.7</v>
      </c>
      <c r="E19" s="25">
        <f>'SC-1'!E4</f>
        <v>12.1</v>
      </c>
      <c r="F19" s="25">
        <f>'SC-2'!E4</f>
        <v>12.7</v>
      </c>
      <c r="G19" s="25">
        <f>WG!E4</f>
        <v>25.3</v>
      </c>
      <c r="H19" s="25">
        <f>DT!E4</f>
        <v>0.97799999999999998</v>
      </c>
      <c r="J19" s="90"/>
      <c r="K19" s="57" t="s">
        <v>40</v>
      </c>
      <c r="L19" s="57" t="s">
        <v>41</v>
      </c>
      <c r="M19" s="57" t="s">
        <v>40</v>
      </c>
      <c r="N19" s="57" t="s">
        <v>41</v>
      </c>
      <c r="O19" s="57" t="s">
        <v>40</v>
      </c>
      <c r="P19" s="57" t="s">
        <v>41</v>
      </c>
      <c r="Q19" s="57" t="s">
        <v>40</v>
      </c>
      <c r="R19" s="57" t="s">
        <v>41</v>
      </c>
      <c r="S19" s="57" t="s">
        <v>40</v>
      </c>
      <c r="T19" s="57" t="s">
        <v>41</v>
      </c>
      <c r="U19" s="57" t="s">
        <v>40</v>
      </c>
      <c r="V19" s="57" t="s">
        <v>41</v>
      </c>
      <c r="X19" s="81" t="s">
        <v>189</v>
      </c>
      <c r="Y19" s="82"/>
      <c r="Z19" s="82"/>
      <c r="AA19" s="82"/>
      <c r="AB19" s="12">
        <f>AVERAGE(Y12:Z12)</f>
        <v>1.7000023206202566</v>
      </c>
      <c r="AC19" s="12">
        <f>AVERAGE(AC12)</f>
        <v>0.32243709026717604</v>
      </c>
      <c r="AD19" s="12">
        <f>AVERAGE(AD12)</f>
        <v>7.5743331692752686E-2</v>
      </c>
      <c r="AF19" s="57" t="s">
        <v>36</v>
      </c>
      <c r="AG19" s="6">
        <f>STDEV(M4:M14)/AVERAGE(M4:M14)*100</f>
        <v>2.1654629646310495</v>
      </c>
      <c r="AH19" s="6">
        <f>2^(1-(0.5*LOG(Z11/100)))</f>
        <v>2.0336002379036171</v>
      </c>
      <c r="AI19" s="29">
        <f t="shared" si="9"/>
        <v>1.0648420098845808</v>
      </c>
    </row>
    <row r="20" spans="1:35" ht="15" customHeight="1" thickBot="1" x14ac:dyDescent="0.4">
      <c r="A20" s="57">
        <v>3</v>
      </c>
      <c r="B20" s="94"/>
      <c r="C20" s="25">
        <f>'TC-1'!E5</f>
        <v>94.6</v>
      </c>
      <c r="D20" s="25">
        <f>'TC-2'!E5</f>
        <v>91.4</v>
      </c>
      <c r="E20" s="25">
        <f>'SC-1'!E5</f>
        <v>12.1</v>
      </c>
      <c r="F20" s="25">
        <f>'SC-2'!E5</f>
        <v>12.7</v>
      </c>
      <c r="G20" s="25">
        <f>WG!E5</f>
        <v>24.6</v>
      </c>
      <c r="H20" s="25">
        <f>DT!E5</f>
        <v>0.95399999999999996</v>
      </c>
      <c r="J20" s="57">
        <v>1</v>
      </c>
      <c r="K20" s="6">
        <f>STDEV(C$3:C$10)</f>
        <v>0.97833678104365251</v>
      </c>
      <c r="L20" s="57">
        <v>8</v>
      </c>
      <c r="M20" s="6">
        <f>STDEV(D$3:D$10)</f>
        <v>1.1649647450214373</v>
      </c>
      <c r="N20" s="57">
        <v>8</v>
      </c>
      <c r="O20" s="6">
        <f>STDEV(E$3:E$10)</f>
        <v>8.8640526042791518E-2</v>
      </c>
      <c r="P20" s="57">
        <v>8</v>
      </c>
      <c r="Q20" s="62"/>
      <c r="R20" s="57">
        <v>8</v>
      </c>
      <c r="S20" s="6">
        <f>STDEV(G$3:G$10)</f>
        <v>0.34200041771068901</v>
      </c>
      <c r="T20" s="57">
        <v>8</v>
      </c>
      <c r="U20" s="6">
        <f>STDEV(H$3:H$10)</f>
        <v>3.4932332546551474E-2</v>
      </c>
      <c r="V20" s="57">
        <v>8</v>
      </c>
      <c r="X20" s="83" t="s">
        <v>60</v>
      </c>
      <c r="Y20" s="84"/>
      <c r="Z20" s="84"/>
      <c r="AA20" s="84"/>
      <c r="AB20" s="13">
        <f>AVERAGE(Y13:Z13)</f>
        <v>2.6002186844325585</v>
      </c>
      <c r="AC20" s="13">
        <f>AVERAGE(AC13)</f>
        <v>0.48301970530661814</v>
      </c>
      <c r="AD20" s="13">
        <f>AVERAGE(AD13)</f>
        <v>8.9301615726863903E-2</v>
      </c>
      <c r="AF20" s="57" t="s">
        <v>37</v>
      </c>
      <c r="AG20" s="6">
        <f>STDEV(O4:O14)/AVERAGE(O4:O14)*100</f>
        <v>1.8768156147391832</v>
      </c>
      <c r="AH20" s="6">
        <f>2^(1-(0.5*LOG(AA11/100)))</f>
        <v>2.7532792010976954</v>
      </c>
      <c r="AI20" s="29">
        <f t="shared" si="9"/>
        <v>0.68166556228330277</v>
      </c>
    </row>
    <row r="21" spans="1:35" x14ac:dyDescent="0.35">
      <c r="A21" s="57">
        <v>3</v>
      </c>
      <c r="B21" s="94"/>
      <c r="C21" s="25">
        <f>'TC-1'!E6</f>
        <v>95.6</v>
      </c>
      <c r="D21" s="25">
        <f>'TC-2'!E6</f>
        <v>91</v>
      </c>
      <c r="E21" s="25">
        <f>'SC-1'!E6</f>
        <v>12.5</v>
      </c>
      <c r="F21" s="25">
        <f>'SC-2'!E6</f>
        <v>12.8</v>
      </c>
      <c r="G21" s="25">
        <f>WG!E6</f>
        <v>25.2</v>
      </c>
      <c r="H21" s="25">
        <f>DT!E6</f>
        <v>0.95199999999999996</v>
      </c>
      <c r="J21" s="57">
        <v>2</v>
      </c>
      <c r="K21" s="6">
        <f>STDEV(C$11:C$18)</f>
        <v>0.73094850316949012</v>
      </c>
      <c r="L21" s="57">
        <v>8</v>
      </c>
      <c r="M21" s="6">
        <f>STDEV(D$11:D$18)</f>
        <v>0.75107066435665182</v>
      </c>
      <c r="N21" s="57">
        <v>8</v>
      </c>
      <c r="O21" s="6">
        <f>STDEV(E$11:E$18)</f>
        <v>0.1407885953173354</v>
      </c>
      <c r="P21" s="57">
        <v>8</v>
      </c>
      <c r="Q21" s="6">
        <f>STDEV(F$11:F$18)</f>
        <v>3.5355339059327251E-2</v>
      </c>
      <c r="R21" s="57">
        <v>8</v>
      </c>
      <c r="S21" s="6">
        <f>STDEV(G$11:G$18)</f>
        <v>9.9103120896511493E-2</v>
      </c>
      <c r="T21" s="57">
        <v>8</v>
      </c>
      <c r="U21" s="6">
        <f>STDEV(H$11:H$18)</f>
        <v>1.5282459600096178E-2</v>
      </c>
      <c r="V21" s="57">
        <v>8</v>
      </c>
      <c r="X21" s="85" t="s">
        <v>69</v>
      </c>
      <c r="Y21" s="86"/>
      <c r="Z21" s="86"/>
      <c r="AA21" s="86"/>
      <c r="AB21" s="12">
        <f>AVERAGE(AA12:AB12)</f>
        <v>0.26267304503224576</v>
      </c>
      <c r="AC21" s="12"/>
      <c r="AD21" s="12"/>
      <c r="AF21" s="57" t="s">
        <v>38</v>
      </c>
      <c r="AG21" s="6">
        <f>STDEV(Q5:Q14)/AVERAGE(Q4:Q14)*100</f>
        <v>1.9034110989416444</v>
      </c>
      <c r="AH21" s="6">
        <f>2^(1-(0.5*LOG(AB11/100)))</f>
        <v>2.7266267298623048</v>
      </c>
      <c r="AI21" s="29">
        <f t="shared" si="9"/>
        <v>0.69808275481762294</v>
      </c>
    </row>
    <row r="22" spans="1:35" ht="15" thickBot="1" x14ac:dyDescent="0.4">
      <c r="A22" s="57">
        <v>3</v>
      </c>
      <c r="B22" s="94"/>
      <c r="C22" s="25">
        <f>'TC-1'!E7</f>
        <v>95.2</v>
      </c>
      <c r="D22" s="25">
        <f>'TC-2'!E7</f>
        <v>90.9</v>
      </c>
      <c r="E22" s="25">
        <f>'SC-1'!E7</f>
        <v>12.1</v>
      </c>
      <c r="F22" s="25">
        <f>'SC-2'!E7</f>
        <v>13.1</v>
      </c>
      <c r="G22" s="25">
        <f>WG!E7</f>
        <v>25.2</v>
      </c>
      <c r="H22" s="25">
        <f>DT!E7</f>
        <v>0.97399999999999998</v>
      </c>
      <c r="J22" s="57">
        <v>3</v>
      </c>
      <c r="K22" s="6">
        <f>STDEV(C$19:C$26)</f>
        <v>1.1719946367502818</v>
      </c>
      <c r="L22" s="57">
        <v>8</v>
      </c>
      <c r="M22" s="6">
        <f>STDEV(D$19:D$26)</f>
        <v>1.4419728549059814</v>
      </c>
      <c r="N22" s="57">
        <v>8</v>
      </c>
      <c r="O22" s="6">
        <f>STDEV(E$19:E$26)</f>
        <v>0.20310096011589907</v>
      </c>
      <c r="P22" s="57">
        <v>8</v>
      </c>
      <c r="Q22" s="6">
        <f>STDEV(F$19:F$26)</f>
        <v>0.16035674514745477</v>
      </c>
      <c r="R22" s="57">
        <v>8</v>
      </c>
      <c r="S22" s="6">
        <f>STDEV(G$19:G$26)</f>
        <v>0.33139316313320127</v>
      </c>
      <c r="T22" s="57">
        <v>8</v>
      </c>
      <c r="U22" s="6">
        <f>STDEV(H$19:H$26)</f>
        <v>1.3263806822649812E-2</v>
      </c>
      <c r="V22" s="57">
        <v>8</v>
      </c>
      <c r="X22" s="83" t="s">
        <v>61</v>
      </c>
      <c r="Y22" s="84"/>
      <c r="Z22" s="84"/>
      <c r="AA22" s="84"/>
      <c r="AB22" s="13">
        <f>AVERAGE(AA13:AB13)</f>
        <v>0.33961512151383777</v>
      </c>
      <c r="AC22" s="13"/>
      <c r="AD22" s="13"/>
      <c r="AF22" s="57" t="s">
        <v>178</v>
      </c>
      <c r="AG22" s="6">
        <f>STDEV(S4:S14)/AVERAGE(S4:S14)*100</f>
        <v>1.538978888608727</v>
      </c>
      <c r="AH22" s="6">
        <f>2^(1-(0.5*LOG(AC11/100)))</f>
        <v>2.4713272520321619</v>
      </c>
      <c r="AI22" s="29">
        <f t="shared" si="9"/>
        <v>0.62273375059625602</v>
      </c>
    </row>
    <row r="23" spans="1:35" x14ac:dyDescent="0.35">
      <c r="A23" s="57">
        <v>3</v>
      </c>
      <c r="B23" s="94"/>
      <c r="C23" s="25">
        <f>'TC-1'!E8</f>
        <v>94</v>
      </c>
      <c r="D23" s="25">
        <f>'TC-2'!E8</f>
        <v>94</v>
      </c>
      <c r="E23" s="25">
        <f>'SC-1'!E8</f>
        <v>12.5</v>
      </c>
      <c r="F23" s="25">
        <f>'SC-2'!E8</f>
        <v>13</v>
      </c>
      <c r="G23" s="25">
        <f>WG!E8</f>
        <v>24.4</v>
      </c>
      <c r="H23" s="25">
        <f>DT!E8</f>
        <v>0.96799999999999997</v>
      </c>
      <c r="J23" s="57">
        <v>4</v>
      </c>
      <c r="K23" s="6">
        <f>STDEV(C$27:C$34)</f>
        <v>0.50142653642240442</v>
      </c>
      <c r="L23" s="57">
        <v>8</v>
      </c>
      <c r="M23" s="6">
        <f>STDEV(D$27:D$34)</f>
        <v>0.80876890571852766</v>
      </c>
      <c r="N23" s="57">
        <v>8</v>
      </c>
      <c r="O23" s="6">
        <f>STDEV(E$27:E$34)</f>
        <v>9.1612538131290472E-2</v>
      </c>
      <c r="P23" s="57">
        <v>8</v>
      </c>
      <c r="Q23" s="6">
        <f>STDEV(F$27:F$34)</f>
        <v>0.13024701806293221</v>
      </c>
      <c r="R23" s="57">
        <v>8</v>
      </c>
      <c r="S23" s="6">
        <f>STDEV(G$27:G$34)</f>
        <v>0.25599944196367824</v>
      </c>
      <c r="T23" s="57">
        <v>8</v>
      </c>
      <c r="U23" s="6">
        <f>STDEV(H$27:H$34)</f>
        <v>1.9242345416888681E-2</v>
      </c>
      <c r="V23" s="57">
        <v>8</v>
      </c>
      <c r="AF23" s="57" t="s">
        <v>179</v>
      </c>
      <c r="AG23" s="6">
        <f>STDEV(U4:U13)/AVERAGE(U4:U14)*100</f>
        <v>5.6677418744175743</v>
      </c>
      <c r="AH23" s="6">
        <f>2^(1-(0.5*LOG(AD11/100)))</f>
        <v>4.0252290626053444</v>
      </c>
      <c r="AI23" s="29">
        <f t="shared" si="9"/>
        <v>1.4080544948537927</v>
      </c>
    </row>
    <row r="24" spans="1:35" x14ac:dyDescent="0.35">
      <c r="A24" s="57">
        <v>3</v>
      </c>
      <c r="B24" s="94"/>
      <c r="C24" s="25">
        <f>'TC-1'!E9</f>
        <v>91.7</v>
      </c>
      <c r="D24" s="25">
        <f>'TC-2'!E9</f>
        <v>91.7</v>
      </c>
      <c r="E24" s="25">
        <f>'SC-1'!E9</f>
        <v>12.2</v>
      </c>
      <c r="F24" s="25">
        <f>'SC-2'!E9</f>
        <v>13</v>
      </c>
      <c r="G24" s="25">
        <f>WG!E9</f>
        <v>25</v>
      </c>
      <c r="H24" s="25">
        <f>DT!E9</f>
        <v>0.94399999999999995</v>
      </c>
      <c r="J24" s="57">
        <v>5</v>
      </c>
      <c r="K24" s="6">
        <f>STDEV(C$35:C$42)</f>
        <v>0.96916753674775824</v>
      </c>
      <c r="L24" s="57">
        <v>8</v>
      </c>
      <c r="M24" s="6">
        <f>STDEV(D$35:D$42)</f>
        <v>0.95281537710993469</v>
      </c>
      <c r="N24" s="57">
        <v>8</v>
      </c>
      <c r="O24" s="6">
        <f>STDEV(E$35:E$42)</f>
        <v>0.19955307206712855</v>
      </c>
      <c r="P24" s="57">
        <v>8</v>
      </c>
      <c r="Q24" s="6">
        <f>STDEV(F$35:F$42)</f>
        <v>0.15118578920369077</v>
      </c>
      <c r="R24" s="57">
        <v>8</v>
      </c>
      <c r="S24" s="6">
        <f>STDEV(G$35:G$42)</f>
        <v>0.23260942125619719</v>
      </c>
      <c r="T24" s="57">
        <v>8</v>
      </c>
      <c r="U24" s="6">
        <f>STDEV(H$35:H$42)</f>
        <v>0.12074227274890677</v>
      </c>
      <c r="V24" s="57">
        <v>8</v>
      </c>
    </row>
    <row r="25" spans="1:35" ht="16.5" x14ac:dyDescent="0.35">
      <c r="A25" s="57">
        <v>3</v>
      </c>
      <c r="B25" s="94"/>
      <c r="C25" s="25">
        <f>'TC-1'!E10</f>
        <v>93.8</v>
      </c>
      <c r="D25" s="25">
        <f>'TC-2'!E10</f>
        <v>93.8</v>
      </c>
      <c r="E25" s="25">
        <f>'SC-1'!E10</f>
        <v>12</v>
      </c>
      <c r="F25" s="25">
        <f>'SC-2'!E10</f>
        <v>12.7</v>
      </c>
      <c r="G25" s="25">
        <f>WG!E10</f>
        <v>25.2</v>
      </c>
      <c r="H25" s="25">
        <f>DT!E10</f>
        <v>0.94599999999999995</v>
      </c>
      <c r="J25" s="57">
        <v>6</v>
      </c>
      <c r="K25" s="6">
        <f>STDEV(C$43:C$50)</f>
        <v>0.84473157190401604</v>
      </c>
      <c r="L25" s="57">
        <v>8</v>
      </c>
      <c r="M25" s="6">
        <f>STDEV(D$43:D$50)</f>
        <v>0.80876890571852766</v>
      </c>
      <c r="N25" s="57">
        <v>8</v>
      </c>
      <c r="O25" s="6">
        <f>STDEV(E$43:E$50)</f>
        <v>9.1612538131290472E-2</v>
      </c>
      <c r="P25" s="57">
        <v>8</v>
      </c>
      <c r="Q25" s="6">
        <f>STDEV(F$43:F$50)</f>
        <v>0.13024701806293221</v>
      </c>
      <c r="R25" s="57">
        <v>8</v>
      </c>
      <c r="S25" s="6">
        <f>STDEV(G$43:G$50)</f>
        <v>0.25599944196367824</v>
      </c>
      <c r="T25" s="57">
        <v>8</v>
      </c>
      <c r="U25" s="6">
        <f>STDEV(H$43:H$50)</f>
        <v>1.9242345416888681E-2</v>
      </c>
      <c r="V25" s="57">
        <v>8</v>
      </c>
      <c r="X25" s="57" t="s">
        <v>76</v>
      </c>
      <c r="Y25" s="57">
        <f t="shared" ref="Y25:AC25" si="10">SQRT(Y9)</f>
        <v>2.0426023817166477</v>
      </c>
      <c r="Z25" s="57">
        <f t="shared" si="10"/>
        <v>1.7720006374930815</v>
      </c>
      <c r="AA25" s="57">
        <f t="shared" si="10"/>
        <v>0.2009971951270331</v>
      </c>
      <c r="AB25" s="57">
        <f>SQRT(AB9)</f>
        <v>0.22714616399705348</v>
      </c>
      <c r="AC25" s="57">
        <f t="shared" si="10"/>
        <v>0.35964198661242147</v>
      </c>
      <c r="AD25" s="57">
        <f>SQRT(AD9)</f>
        <v>4.7304611567056669E-2</v>
      </c>
    </row>
    <row r="26" spans="1:35" ht="16.5" x14ac:dyDescent="0.35">
      <c r="A26" s="57">
        <v>3</v>
      </c>
      <c r="B26" s="90"/>
      <c r="C26" s="25">
        <f>'TC-1'!E11</f>
        <v>94.1</v>
      </c>
      <c r="D26" s="25">
        <f>'TC-2'!E11</f>
        <v>94.1</v>
      </c>
      <c r="E26" s="25">
        <f>'SC-1'!E11</f>
        <v>12</v>
      </c>
      <c r="F26" s="25">
        <f>'SC-2'!E11</f>
        <v>12.8</v>
      </c>
      <c r="G26" s="25">
        <f>WG!E11</f>
        <v>25.2</v>
      </c>
      <c r="H26" s="25">
        <f>DT!E11</f>
        <v>0.97</v>
      </c>
      <c r="J26" s="57">
        <v>7</v>
      </c>
      <c r="K26" s="6">
        <f>STDEV(C$51:C$58)</f>
        <v>1.9134393118152451</v>
      </c>
      <c r="L26" s="57">
        <v>8</v>
      </c>
      <c r="M26" s="6">
        <f>STDEV(D$51:D$58)</f>
        <v>5.5171809571814592</v>
      </c>
      <c r="N26" s="57">
        <v>8</v>
      </c>
      <c r="O26" s="6">
        <f>STDEV(E$51:E$58)</f>
        <v>0.66708320320631653</v>
      </c>
      <c r="P26" s="57">
        <v>8</v>
      </c>
      <c r="Q26" s="6">
        <f>STDEV(F$51:F$58)</f>
        <v>0.40266966255586872</v>
      </c>
      <c r="R26" s="57">
        <v>8</v>
      </c>
      <c r="S26" s="6">
        <f>STDEV(G$51:G$58)</f>
        <v>0.26692695630078295</v>
      </c>
      <c r="T26" s="57">
        <v>8</v>
      </c>
      <c r="U26" s="6">
        <f>STDEV(H$51:H$58)</f>
        <v>3.6767367130572277E-2</v>
      </c>
      <c r="V26" s="57">
        <v>8</v>
      </c>
      <c r="X26" s="57" t="s">
        <v>77</v>
      </c>
      <c r="Y26" s="57">
        <f t="shared" ref="Y26:AC26" si="11">Y12/Y11*100</f>
        <v>1.3104418633954049</v>
      </c>
      <c r="Z26" s="57">
        <f t="shared" si="11"/>
        <v>2.483803677316772</v>
      </c>
      <c r="AA26" s="57">
        <f t="shared" si="11"/>
        <v>2.3624786348484164</v>
      </c>
      <c r="AB26" s="57">
        <f>AB12/AB11*100</f>
        <v>1.9033127369399918</v>
      </c>
      <c r="AC26" s="57">
        <f t="shared" si="11"/>
        <v>1.3152766858346774</v>
      </c>
      <c r="AD26" s="57">
        <f>AD12/AD11*100</f>
        <v>7.8974370631201722</v>
      </c>
    </row>
    <row r="27" spans="1:35" ht="16.5" x14ac:dyDescent="0.35">
      <c r="A27" s="57">
        <v>4</v>
      </c>
      <c r="B27" s="89">
        <v>4</v>
      </c>
      <c r="C27" s="25">
        <f>'TC-1'!F4</f>
        <v>89.5</v>
      </c>
      <c r="D27" s="25">
        <f>'TC-2'!F4</f>
        <v>87.7</v>
      </c>
      <c r="E27" s="25">
        <f>'SC-1'!F4</f>
        <v>11.7</v>
      </c>
      <c r="F27" s="25">
        <f>'SC-2'!F4</f>
        <v>12.7</v>
      </c>
      <c r="G27" s="25">
        <f>WG!F4</f>
        <v>24.1</v>
      </c>
      <c r="H27" s="25">
        <f>DT!F4</f>
        <v>0.97099999999999997</v>
      </c>
      <c r="J27" s="9">
        <v>8</v>
      </c>
      <c r="K27" s="6">
        <f>STDEV(C$59:C$66)</f>
        <v>0.38521793460696574</v>
      </c>
      <c r="L27" s="57">
        <v>8</v>
      </c>
      <c r="M27" s="6">
        <f>STDEV(D$59:D$66)</f>
        <v>0.20658792662827991</v>
      </c>
      <c r="N27" s="57">
        <v>8</v>
      </c>
      <c r="O27" s="6">
        <f>STDEV(E$59:E$66)</f>
        <v>5.3452248382484684E-2</v>
      </c>
      <c r="P27" s="57">
        <v>8</v>
      </c>
      <c r="Q27" s="6">
        <f>STDEV(F$59:F$66)</f>
        <v>8.8640526042792225E-2</v>
      </c>
      <c r="R27" s="57">
        <v>8</v>
      </c>
      <c r="S27" s="6">
        <f>STDEV(G$59:G$66)</f>
        <v>0.19955307206712819</v>
      </c>
      <c r="T27" s="57">
        <v>8</v>
      </c>
      <c r="U27" s="6">
        <f>STDEV(H$59:H$66)</f>
        <v>0.1614069833858319</v>
      </c>
      <c r="V27" s="57">
        <v>8</v>
      </c>
      <c r="X27" s="57" t="s">
        <v>78</v>
      </c>
      <c r="Y27" s="57">
        <f t="shared" ref="Y27:AC27" si="12">Y13/Y11*100</f>
        <v>2.6256185237966889</v>
      </c>
      <c r="Z27" s="57">
        <f t="shared" si="12"/>
        <v>3.1760589525713763</v>
      </c>
      <c r="AA27" s="57">
        <f t="shared" si="12"/>
        <v>2.8993238848611766</v>
      </c>
      <c r="AB27" s="57">
        <f>AB13/AB11*100</f>
        <v>2.6062901343377716</v>
      </c>
      <c r="AC27" s="57">
        <f t="shared" si="12"/>
        <v>1.9703209598564131</v>
      </c>
      <c r="AD27" s="57">
        <f>AD13/AD11*100</f>
        <v>9.3111020346802444</v>
      </c>
    </row>
    <row r="28" spans="1:35" x14ac:dyDescent="0.35">
      <c r="A28" s="57">
        <v>4</v>
      </c>
      <c r="B28" s="94"/>
      <c r="C28" s="25">
        <f>'TC-1'!F5</f>
        <v>88.9</v>
      </c>
      <c r="D28" s="25">
        <f>'TC-2'!F5</f>
        <v>89.5</v>
      </c>
      <c r="E28" s="25">
        <f>'SC-1'!F5</f>
        <v>11.7</v>
      </c>
      <c r="F28" s="25">
        <f>'SC-2'!F5</f>
        <v>12.5</v>
      </c>
      <c r="G28" s="25">
        <f>WG!F5</f>
        <v>23.7</v>
      </c>
      <c r="H28" s="25">
        <f>DT!F5</f>
        <v>0.95799999999999996</v>
      </c>
      <c r="J28" s="9">
        <v>9</v>
      </c>
      <c r="K28" s="6">
        <f>STDEV(C$67:C$74)</f>
        <v>0.56505372690188937</v>
      </c>
      <c r="L28" s="57">
        <v>8</v>
      </c>
      <c r="M28" s="6">
        <f>STDEV(D$67:D$74)</f>
        <v>0.19999999999999879</v>
      </c>
      <c r="N28" s="57">
        <v>8</v>
      </c>
      <c r="O28" s="6">
        <f>STDEV(E$67:E$74)</f>
        <v>0.12464234547582295</v>
      </c>
      <c r="P28" s="57">
        <v>8</v>
      </c>
      <c r="Q28" s="6">
        <f>STDEV(F$67:F$74)</f>
        <v>0.19086270308410547</v>
      </c>
      <c r="R28" s="57">
        <v>8</v>
      </c>
      <c r="S28" s="6">
        <f>STDEV(G$67:G$74)</f>
        <v>0.24494897427831758</v>
      </c>
      <c r="T28" s="57">
        <v>8</v>
      </c>
      <c r="U28" s="6">
        <f>STDEV(H$67:H$74)</f>
        <v>8.5345934709443461E-3</v>
      </c>
      <c r="V28" s="57">
        <v>8</v>
      </c>
      <c r="X28" s="57" t="s">
        <v>80</v>
      </c>
      <c r="Y28" s="57">
        <f t="shared" ref="Y28:AC29" si="13">Y12*2.8</f>
        <v>3.294099407894501</v>
      </c>
      <c r="Z28" s="57">
        <f t="shared" si="13"/>
        <v>6.225913587578936</v>
      </c>
      <c r="AA28" s="57">
        <f t="shared" si="13"/>
        <v>0.79108670941824166</v>
      </c>
      <c r="AB28" s="57">
        <f>AB12*2.8</f>
        <v>0.67988234276233439</v>
      </c>
      <c r="AC28" s="57">
        <f t="shared" si="13"/>
        <v>0.90282385274809285</v>
      </c>
      <c r="AD28" s="57">
        <f>AD12*2.8</f>
        <v>0.2120813287397075</v>
      </c>
    </row>
    <row r="29" spans="1:35" x14ac:dyDescent="0.35">
      <c r="A29" s="57">
        <v>4</v>
      </c>
      <c r="B29" s="94"/>
      <c r="C29" s="25">
        <f>'TC-1'!F6</f>
        <v>90.3</v>
      </c>
      <c r="D29" s="25">
        <f>'TC-2'!F6</f>
        <v>89.4</v>
      </c>
      <c r="E29" s="25">
        <f>'SC-1'!F6</f>
        <v>11.6</v>
      </c>
      <c r="F29" s="25">
        <f>'SC-2'!F6</f>
        <v>12.7</v>
      </c>
      <c r="G29" s="25">
        <f>WG!F6</f>
        <v>24</v>
      </c>
      <c r="H29" s="25">
        <f>DT!F6</f>
        <v>0.95099999999999996</v>
      </c>
      <c r="J29" s="57">
        <v>10</v>
      </c>
      <c r="K29" s="6">
        <f>STDEV(C$75:C$82)</f>
        <v>1.307942768516376</v>
      </c>
      <c r="L29" s="57">
        <v>8</v>
      </c>
      <c r="M29" s="6">
        <f>STDEV(D$75:D$82)</f>
        <v>1.1375883011253005</v>
      </c>
      <c r="N29" s="57">
        <v>8</v>
      </c>
      <c r="O29" s="6">
        <f>STDEV(E$75:E$82)</f>
        <v>0.16035674514745502</v>
      </c>
      <c r="P29" s="57">
        <v>8</v>
      </c>
      <c r="Q29" s="6">
        <f>STDEV(F$75:F$82)</f>
        <v>0.21339098923270952</v>
      </c>
      <c r="R29" s="57">
        <v>8</v>
      </c>
      <c r="S29" s="6">
        <f>STDEV(G$75:G$82)</f>
        <v>0.4301162633521316</v>
      </c>
      <c r="T29" s="57">
        <v>8</v>
      </c>
      <c r="U29" s="6">
        <f>STDEV(H$75:H$82)</f>
        <v>1.3987239082208379E-2</v>
      </c>
      <c r="V29" s="57">
        <v>8</v>
      </c>
      <c r="X29" s="57" t="s">
        <v>79</v>
      </c>
      <c r="Y29" s="57">
        <f t="shared" si="13"/>
        <v>6.6001008256753124</v>
      </c>
      <c r="Z29" s="57">
        <f t="shared" si="13"/>
        <v>7.9611238071470147</v>
      </c>
      <c r="AA29" s="57">
        <f t="shared" si="13"/>
        <v>0.97085178159069618</v>
      </c>
      <c r="AB29" s="57">
        <f>AB13*2.8</f>
        <v>0.93099289888679537</v>
      </c>
      <c r="AC29" s="57">
        <f t="shared" si="13"/>
        <v>1.3524551748585307</v>
      </c>
      <c r="AD29" s="57">
        <f>AD13*2.8</f>
        <v>0.25004452403521893</v>
      </c>
    </row>
    <row r="30" spans="1:35" x14ac:dyDescent="0.35">
      <c r="A30" s="57">
        <v>4</v>
      </c>
      <c r="B30" s="94"/>
      <c r="C30" s="25">
        <f>'TC-1'!F7</f>
        <v>89.2</v>
      </c>
      <c r="D30" s="25">
        <f>'TC-2'!F7</f>
        <v>88</v>
      </c>
      <c r="E30" s="25">
        <f>'SC-1'!F7</f>
        <v>11.7</v>
      </c>
      <c r="F30" s="25">
        <f>'SC-2'!F7</f>
        <v>12.7</v>
      </c>
      <c r="G30" s="25">
        <f>WG!F7</f>
        <v>23.9</v>
      </c>
      <c r="H30" s="25">
        <f>DT!F7</f>
        <v>0.97099999999999997</v>
      </c>
      <c r="J30" s="57">
        <v>11</v>
      </c>
      <c r="K30" s="6">
        <f>STDEV(C$83:C$90)</f>
        <v>0.21998376563477806</v>
      </c>
      <c r="L30" s="57">
        <v>8</v>
      </c>
      <c r="M30" s="6">
        <f>STDEV(D$83:D$90)</f>
        <v>0.19272482233188643</v>
      </c>
      <c r="N30" s="57">
        <v>8</v>
      </c>
      <c r="O30" s="6">
        <f>STDEV(E$83:E$90)</f>
        <v>0</v>
      </c>
      <c r="P30" s="57">
        <v>8</v>
      </c>
      <c r="Q30" s="6">
        <f>STDEV(F$83:F$90)</f>
        <v>0.35050983275386582</v>
      </c>
      <c r="R30" s="57">
        <v>8</v>
      </c>
      <c r="S30" s="6">
        <f>STDEV(G$83:G$90)</f>
        <v>0.15059406173077144</v>
      </c>
      <c r="T30" s="57">
        <v>8</v>
      </c>
      <c r="U30" s="62" t="s">
        <v>187</v>
      </c>
      <c r="V30" s="57">
        <v>8</v>
      </c>
    </row>
    <row r="31" spans="1:35" x14ac:dyDescent="0.35">
      <c r="A31" s="57">
        <v>4</v>
      </c>
      <c r="B31" s="94"/>
      <c r="C31" s="25">
        <f>'TC-1'!F8</f>
        <v>89.7</v>
      </c>
      <c r="D31" s="25">
        <f>'TC-2'!F8</f>
        <v>87.6</v>
      </c>
      <c r="E31" s="25">
        <f>'SC-1'!F8</f>
        <v>11.6</v>
      </c>
      <c r="F31" s="25">
        <f>'SC-2'!F8</f>
        <v>12.8</v>
      </c>
      <c r="G31" s="25">
        <f>WG!F8</f>
        <v>24.3</v>
      </c>
      <c r="H31" s="25">
        <f>DT!F8</f>
        <v>0.98199999999999998</v>
      </c>
      <c r="X31" s="57" t="s">
        <v>81</v>
      </c>
      <c r="Y31" s="80">
        <f>AVERAGE(Y28:Z28)</f>
        <v>4.7600064977367182</v>
      </c>
      <c r="Z31" s="80"/>
      <c r="AA31" s="80">
        <f>AVERAGE(AA28:AB28)</f>
        <v>0.73548452609028803</v>
      </c>
      <c r="AB31" s="80"/>
      <c r="AC31" s="24">
        <f>AC28</f>
        <v>0.90282385274809285</v>
      </c>
      <c r="AD31" s="24">
        <f>AD28</f>
        <v>0.2120813287397075</v>
      </c>
    </row>
    <row r="32" spans="1:35" x14ac:dyDescent="0.35">
      <c r="A32" s="57">
        <v>4</v>
      </c>
      <c r="B32" s="94"/>
      <c r="C32" s="25">
        <f>'TC-1'!F9</f>
        <v>89.7</v>
      </c>
      <c r="D32" s="25">
        <f>'TC-2'!F9</f>
        <v>89.5</v>
      </c>
      <c r="E32" s="25">
        <f>'SC-1'!F9</f>
        <v>11.5</v>
      </c>
      <c r="F32" s="25">
        <f>'SC-2'!F9</f>
        <v>12.7</v>
      </c>
      <c r="G32" s="25">
        <f>WG!F9</f>
        <v>24.3</v>
      </c>
      <c r="H32" s="25">
        <f>DT!F9</f>
        <v>0.98199999999999998</v>
      </c>
      <c r="X32" s="57" t="s">
        <v>82</v>
      </c>
      <c r="Y32" s="80">
        <f>AVERAGE(Y29:Z29)</f>
        <v>7.2806123164111636</v>
      </c>
      <c r="Z32" s="80"/>
      <c r="AA32" s="80">
        <f>AVERAGE(AA29:AB29)</f>
        <v>0.95092234023874578</v>
      </c>
      <c r="AB32" s="80"/>
      <c r="AC32" s="24">
        <f>AC29</f>
        <v>1.3524551748585307</v>
      </c>
      <c r="AD32" s="24">
        <f>AD29</f>
        <v>0.25004452403521893</v>
      </c>
    </row>
    <row r="33" spans="1:8" x14ac:dyDescent="0.35">
      <c r="A33" s="57">
        <v>4</v>
      </c>
      <c r="B33" s="94"/>
      <c r="C33" s="25">
        <f>'TC-1'!F10</f>
        <v>90.1</v>
      </c>
      <c r="D33" s="25">
        <f>'TC-2'!F10</f>
        <v>88.6</v>
      </c>
      <c r="E33" s="25">
        <f>'SC-1'!F10</f>
        <v>11.7</v>
      </c>
      <c r="F33" s="25">
        <f>'SC-2'!F10</f>
        <v>12.9</v>
      </c>
      <c r="G33" s="25">
        <f>WG!F10</f>
        <v>24.3</v>
      </c>
      <c r="H33" s="25">
        <f>DT!F10</f>
        <v>0.94</v>
      </c>
    </row>
    <row r="34" spans="1:8" x14ac:dyDescent="0.35">
      <c r="A34" s="57">
        <v>4</v>
      </c>
      <c r="B34" s="90"/>
      <c r="C34" s="25">
        <f>'TC-1'!F11</f>
        <v>89</v>
      </c>
      <c r="D34" s="25">
        <f>'TC-2'!F11</f>
        <v>88.2</v>
      </c>
      <c r="E34" s="25">
        <f>'SC-1'!F11</f>
        <v>11.8</v>
      </c>
      <c r="F34" s="25">
        <f>'SC-2'!F11</f>
        <v>12.9</v>
      </c>
      <c r="G34" s="25">
        <f>WG!F11</f>
        <v>23.7</v>
      </c>
      <c r="H34" s="25">
        <f>DT!F11</f>
        <v>0.93</v>
      </c>
    </row>
    <row r="35" spans="1:8" x14ac:dyDescent="0.35">
      <c r="A35" s="57">
        <v>5</v>
      </c>
      <c r="B35" s="89">
        <v>5</v>
      </c>
      <c r="C35" s="25">
        <f>'TC-1'!G4</f>
        <v>92.6</v>
      </c>
      <c r="D35" s="25">
        <f>'TC-2'!G4</f>
        <v>89.8</v>
      </c>
      <c r="E35" s="25">
        <f>'SC-1'!G4</f>
        <v>11.8</v>
      </c>
      <c r="F35" s="25">
        <f>'SC-2'!G4</f>
        <v>12.6</v>
      </c>
      <c r="G35" s="25">
        <f>WG!G4</f>
        <v>24.6</v>
      </c>
      <c r="H35" s="25">
        <f>DT!G4</f>
        <v>0.66400000000000003</v>
      </c>
    </row>
    <row r="36" spans="1:8" x14ac:dyDescent="0.35">
      <c r="A36" s="57">
        <v>5</v>
      </c>
      <c r="B36" s="94"/>
      <c r="C36" s="25">
        <f>'TC-1'!G5</f>
        <v>90.6</v>
      </c>
      <c r="D36" s="25">
        <f>'TC-2'!G5</f>
        <v>91.5</v>
      </c>
      <c r="E36" s="25">
        <f>'SC-1'!G5</f>
        <v>11.9</v>
      </c>
      <c r="F36" s="25">
        <f>'SC-2'!G5</f>
        <v>12.4</v>
      </c>
      <c r="G36" s="25">
        <f>WG!G5</f>
        <v>24.3</v>
      </c>
      <c r="H36" s="25">
        <f>DT!G5</f>
        <v>0.67800000000000005</v>
      </c>
    </row>
    <row r="37" spans="1:8" x14ac:dyDescent="0.35">
      <c r="A37" s="57">
        <v>5</v>
      </c>
      <c r="B37" s="94"/>
      <c r="C37" s="25">
        <f>'TC-1'!G6</f>
        <v>91.8</v>
      </c>
      <c r="D37" s="25">
        <f>'TC-2'!G6</f>
        <v>91.1</v>
      </c>
      <c r="E37" s="25">
        <f>'SC-1'!G6</f>
        <v>11.5</v>
      </c>
      <c r="F37" s="25">
        <f>'SC-2'!G6</f>
        <v>12.3</v>
      </c>
      <c r="G37" s="25">
        <f>WG!G6</f>
        <v>24.4</v>
      </c>
      <c r="H37" s="25">
        <f>DT!G6</f>
        <v>0.92400000000000004</v>
      </c>
    </row>
    <row r="38" spans="1:8" x14ac:dyDescent="0.35">
      <c r="A38" s="57">
        <v>5</v>
      </c>
      <c r="B38" s="94"/>
      <c r="C38" s="25">
        <f>'TC-1'!G7</f>
        <v>91.9</v>
      </c>
      <c r="D38" s="25">
        <f>'TC-2'!G7</f>
        <v>89.8</v>
      </c>
      <c r="E38" s="25">
        <f>'SC-1'!G7</f>
        <v>11.7</v>
      </c>
      <c r="F38" s="25">
        <f>'SC-2'!G7</f>
        <v>12.6</v>
      </c>
      <c r="G38" s="25">
        <f>WG!G7</f>
        <v>24</v>
      </c>
      <c r="H38" s="25">
        <f>DT!G7</f>
        <v>0.92700000000000005</v>
      </c>
    </row>
    <row r="39" spans="1:8" x14ac:dyDescent="0.35">
      <c r="A39" s="57">
        <v>5</v>
      </c>
      <c r="B39" s="94"/>
      <c r="C39" s="25">
        <f>'TC-1'!G8</f>
        <v>91.2</v>
      </c>
      <c r="D39" s="25">
        <f>'TC-2'!G8</f>
        <v>90.9</v>
      </c>
      <c r="E39" s="25">
        <f>'SC-1'!G8</f>
        <v>11.5</v>
      </c>
      <c r="F39" s="25">
        <f>'SC-2'!G8</f>
        <v>12.6</v>
      </c>
      <c r="G39" s="25">
        <f>WG!G8</f>
        <v>24.1</v>
      </c>
      <c r="H39" s="25">
        <f>DT!G8</f>
        <v>0.92600000000000005</v>
      </c>
    </row>
    <row r="40" spans="1:8" x14ac:dyDescent="0.35">
      <c r="A40" s="57">
        <v>5</v>
      </c>
      <c r="B40" s="94"/>
      <c r="C40" s="25">
        <f>'TC-1'!G9</f>
        <v>89.6</v>
      </c>
      <c r="D40" s="25">
        <f>'TC-2'!G9</f>
        <v>92.7</v>
      </c>
      <c r="E40" s="25">
        <f>'SC-1'!G9</f>
        <v>11.3</v>
      </c>
      <c r="F40" s="25">
        <f>'SC-2'!G9</f>
        <v>12.5</v>
      </c>
      <c r="G40" s="25">
        <f>WG!G9</f>
        <v>24.6</v>
      </c>
      <c r="H40" s="25">
        <f>DT!G9</f>
        <v>0.92100000000000004</v>
      </c>
    </row>
    <row r="41" spans="1:8" x14ac:dyDescent="0.35">
      <c r="A41" s="57">
        <v>5</v>
      </c>
      <c r="B41" s="94"/>
      <c r="C41" s="25">
        <f>'TC-1'!G10</f>
        <v>91.4</v>
      </c>
      <c r="D41" s="25">
        <f>'TC-2'!G10</f>
        <v>90.6</v>
      </c>
      <c r="E41" s="25">
        <f>'SC-1'!G10</f>
        <v>11.6</v>
      </c>
      <c r="F41" s="25">
        <f>'SC-2'!G10</f>
        <v>12.4</v>
      </c>
      <c r="G41" s="25">
        <f>WG!G10</f>
        <v>24.3</v>
      </c>
      <c r="H41" s="25">
        <f>DT!G10</f>
        <v>0.95299999999999996</v>
      </c>
    </row>
    <row r="42" spans="1:8" x14ac:dyDescent="0.35">
      <c r="A42" s="57">
        <v>5</v>
      </c>
      <c r="B42" s="90"/>
      <c r="C42" s="25">
        <f>'TC-1'!G11</f>
        <v>90.3</v>
      </c>
      <c r="D42" s="25">
        <f>'TC-2'!G11</f>
        <v>91.4</v>
      </c>
      <c r="E42" s="25">
        <f>'SC-1'!G11</f>
        <v>11.8</v>
      </c>
      <c r="F42" s="25">
        <f>'SC-2'!G11</f>
        <v>12.2</v>
      </c>
      <c r="G42" s="25">
        <f>WG!G11</f>
        <v>24.6</v>
      </c>
      <c r="H42" s="25">
        <f>DT!G11</f>
        <v>0.93400000000000005</v>
      </c>
    </row>
    <row r="43" spans="1:8" x14ac:dyDescent="0.35">
      <c r="A43" s="57">
        <v>6</v>
      </c>
      <c r="B43" s="89">
        <v>6</v>
      </c>
      <c r="C43" s="25">
        <f>'TC-1'!H4</f>
        <v>89.5</v>
      </c>
      <c r="D43" s="25">
        <f>'TC-2'!H4</f>
        <v>87.7</v>
      </c>
      <c r="E43" s="25">
        <f>'SC-1'!H4</f>
        <v>11.7</v>
      </c>
      <c r="F43" s="25">
        <f>'SC-2'!H4</f>
        <v>12.7</v>
      </c>
      <c r="G43" s="25">
        <f>WG!H4</f>
        <v>24.1</v>
      </c>
      <c r="H43" s="25">
        <f>DT!H4</f>
        <v>0.97099999999999997</v>
      </c>
    </row>
    <row r="44" spans="1:8" x14ac:dyDescent="0.35">
      <c r="A44" s="57">
        <v>6</v>
      </c>
      <c r="B44" s="94"/>
      <c r="C44" s="25">
        <f>'TC-1'!H5</f>
        <v>88.9</v>
      </c>
      <c r="D44" s="25">
        <f>'TC-2'!H5</f>
        <v>89.5</v>
      </c>
      <c r="E44" s="25">
        <f>'SC-1'!H5</f>
        <v>11.7</v>
      </c>
      <c r="F44" s="25">
        <f>'SC-2'!H5</f>
        <v>12.5</v>
      </c>
      <c r="G44" s="25">
        <f>WG!H5</f>
        <v>23.7</v>
      </c>
      <c r="H44" s="25">
        <f>DT!H5</f>
        <v>0.95799999999999996</v>
      </c>
    </row>
    <row r="45" spans="1:8" x14ac:dyDescent="0.35">
      <c r="A45" s="57">
        <v>6</v>
      </c>
      <c r="B45" s="94"/>
      <c r="C45" s="25">
        <f>'TC-1'!H6</f>
        <v>90.3</v>
      </c>
      <c r="D45" s="25">
        <f>'TC-2'!H6</f>
        <v>89.4</v>
      </c>
      <c r="E45" s="25">
        <f>'SC-1'!H6</f>
        <v>11.6</v>
      </c>
      <c r="F45" s="25">
        <f>'SC-2'!H6</f>
        <v>12.7</v>
      </c>
      <c r="G45" s="25">
        <f>WG!H6</f>
        <v>24</v>
      </c>
      <c r="H45" s="25">
        <f>DT!H6</f>
        <v>0.95099999999999996</v>
      </c>
    </row>
    <row r="46" spans="1:8" x14ac:dyDescent="0.35">
      <c r="A46" s="57">
        <v>6</v>
      </c>
      <c r="B46" s="94"/>
      <c r="C46" s="25">
        <f>'TC-1'!H7</f>
        <v>89.2</v>
      </c>
      <c r="D46" s="25">
        <f>'TC-2'!H7</f>
        <v>88</v>
      </c>
      <c r="E46" s="25">
        <f>'SC-1'!H7</f>
        <v>11.7</v>
      </c>
      <c r="F46" s="25">
        <f>'SC-2'!H7</f>
        <v>12.7</v>
      </c>
      <c r="G46" s="25">
        <f>WG!H7</f>
        <v>23.9</v>
      </c>
      <c r="H46" s="25">
        <f>DT!H7</f>
        <v>0.97099999999999997</v>
      </c>
    </row>
    <row r="47" spans="1:8" x14ac:dyDescent="0.35">
      <c r="A47" s="57">
        <v>6</v>
      </c>
      <c r="B47" s="94"/>
      <c r="C47" s="25">
        <f>'TC-1'!H8</f>
        <v>87.6</v>
      </c>
      <c r="D47" s="25">
        <f>'TC-2'!H8</f>
        <v>87.6</v>
      </c>
      <c r="E47" s="25">
        <f>'SC-1'!H8</f>
        <v>11.6</v>
      </c>
      <c r="F47" s="25">
        <f>'SC-2'!H8</f>
        <v>12.8</v>
      </c>
      <c r="G47" s="25">
        <f>WG!H8</f>
        <v>24.3</v>
      </c>
      <c r="H47" s="25">
        <f>DT!H8</f>
        <v>0.98199999999999998</v>
      </c>
    </row>
    <row r="48" spans="1:8" x14ac:dyDescent="0.35">
      <c r="A48" s="57">
        <v>6</v>
      </c>
      <c r="B48" s="94"/>
      <c r="C48" s="25">
        <f>'TC-1'!H9</f>
        <v>89.5</v>
      </c>
      <c r="D48" s="25">
        <f>'TC-2'!H9</f>
        <v>89.5</v>
      </c>
      <c r="E48" s="25">
        <f>'SC-1'!H9</f>
        <v>11.5</v>
      </c>
      <c r="F48" s="25">
        <f>'SC-2'!H9</f>
        <v>12.7</v>
      </c>
      <c r="G48" s="25">
        <f>WG!H9</f>
        <v>24.3</v>
      </c>
      <c r="H48" s="25">
        <f>DT!H9</f>
        <v>0.98199999999999998</v>
      </c>
    </row>
    <row r="49" spans="1:8" x14ac:dyDescent="0.35">
      <c r="A49" s="57">
        <v>6</v>
      </c>
      <c r="B49" s="94"/>
      <c r="C49" s="25">
        <f>'TC-1'!H10</f>
        <v>88.6</v>
      </c>
      <c r="D49" s="25">
        <f>'TC-2'!H10</f>
        <v>88.6</v>
      </c>
      <c r="E49" s="25">
        <f>'SC-1'!H10</f>
        <v>11.7</v>
      </c>
      <c r="F49" s="25">
        <f>'SC-2'!H10</f>
        <v>12.9</v>
      </c>
      <c r="G49" s="25">
        <f>WG!H10</f>
        <v>24.3</v>
      </c>
      <c r="H49" s="25">
        <f>DT!H10</f>
        <v>0.94</v>
      </c>
    </row>
    <row r="50" spans="1:8" x14ac:dyDescent="0.35">
      <c r="A50" s="57">
        <v>6</v>
      </c>
      <c r="B50" s="90"/>
      <c r="C50" s="25">
        <f>'TC-1'!H11</f>
        <v>88.2</v>
      </c>
      <c r="D50" s="25">
        <f>'TC-2'!H11</f>
        <v>88.2</v>
      </c>
      <c r="E50" s="25">
        <f>'SC-1'!H11</f>
        <v>11.8</v>
      </c>
      <c r="F50" s="25">
        <f>'SC-2'!H11</f>
        <v>12.9</v>
      </c>
      <c r="G50" s="25">
        <f>WG!H11</f>
        <v>23.7</v>
      </c>
      <c r="H50" s="25">
        <f>DT!H11</f>
        <v>0.93</v>
      </c>
    </row>
    <row r="51" spans="1:8" x14ac:dyDescent="0.35">
      <c r="A51" s="9">
        <v>7</v>
      </c>
      <c r="B51" s="89">
        <v>7</v>
      </c>
      <c r="C51" s="25">
        <f>'TC-1'!I4</f>
        <v>89.7</v>
      </c>
      <c r="D51" s="25">
        <f>'TC-2'!I4</f>
        <v>79.8</v>
      </c>
      <c r="E51" s="25">
        <f>'SC-1'!I4</f>
        <v>12.2</v>
      </c>
      <c r="F51" s="25">
        <f>'SC-2'!I4</f>
        <v>12.3</v>
      </c>
      <c r="G51" s="25">
        <f>WG!I4</f>
        <v>24.6</v>
      </c>
      <c r="H51" s="25">
        <f>DT!I4</f>
        <v>1.02</v>
      </c>
    </row>
    <row r="52" spans="1:8" x14ac:dyDescent="0.35">
      <c r="A52" s="9">
        <v>7</v>
      </c>
      <c r="B52" s="94"/>
      <c r="C52" s="25">
        <f>'TC-1'!I5</f>
        <v>89.7</v>
      </c>
      <c r="D52" s="25">
        <f>'TC-2'!I5</f>
        <v>80</v>
      </c>
      <c r="E52" s="25">
        <f>'SC-1'!I5</f>
        <v>12.1</v>
      </c>
      <c r="F52" s="25">
        <f>'SC-2'!I5</f>
        <v>12.2</v>
      </c>
      <c r="G52" s="25">
        <f>WG!I5</f>
        <v>24.6</v>
      </c>
      <c r="H52" s="25">
        <f>DT!I5</f>
        <v>1.02</v>
      </c>
    </row>
    <row r="53" spans="1:8" x14ac:dyDescent="0.35">
      <c r="A53" s="9">
        <v>7</v>
      </c>
      <c r="B53" s="94"/>
      <c r="C53" s="25">
        <f>'TC-1'!I6</f>
        <v>86.9</v>
      </c>
      <c r="D53" s="25">
        <f>'TC-2'!I6</f>
        <v>85.3</v>
      </c>
      <c r="E53" s="25">
        <f>'SC-1'!I6</f>
        <v>10.8</v>
      </c>
      <c r="F53" s="25">
        <f>'SC-2'!I6</f>
        <v>12.2</v>
      </c>
      <c r="G53" s="25">
        <f>WG!I6</f>
        <v>24.4</v>
      </c>
      <c r="H53" s="25">
        <f>DT!I6</f>
        <v>1.02</v>
      </c>
    </row>
    <row r="54" spans="1:8" x14ac:dyDescent="0.35">
      <c r="A54" s="9">
        <v>7</v>
      </c>
      <c r="B54" s="94"/>
      <c r="C54" s="25">
        <f>'TC-1'!I7</f>
        <v>87.3</v>
      </c>
      <c r="D54" s="25">
        <f>'TC-2'!I7</f>
        <v>85.2</v>
      </c>
      <c r="E54" s="25">
        <f>'SC-1'!I7</f>
        <v>10.8</v>
      </c>
      <c r="F54" s="25">
        <f>'SC-2'!I7</f>
        <v>12.3</v>
      </c>
      <c r="G54" s="25">
        <f>WG!I7</f>
        <v>24.4</v>
      </c>
      <c r="H54" s="25">
        <f>DT!I7</f>
        <v>1.01</v>
      </c>
    </row>
    <row r="55" spans="1:8" x14ac:dyDescent="0.35">
      <c r="A55" s="9">
        <v>7</v>
      </c>
      <c r="B55" s="94"/>
      <c r="C55" s="25">
        <f>'TC-1'!I8</f>
        <v>90.6</v>
      </c>
      <c r="D55" s="25">
        <f>'TC-2'!I8</f>
        <v>92.3</v>
      </c>
      <c r="E55" s="25">
        <f>'SC-1'!I8</f>
        <v>12.3</v>
      </c>
      <c r="F55" s="25">
        <f>'SC-2'!I8</f>
        <v>13</v>
      </c>
      <c r="G55" s="25">
        <f>WG!I8</f>
        <v>25</v>
      </c>
      <c r="H55" s="25">
        <f>DT!I8</f>
        <v>0.96599999999999997</v>
      </c>
    </row>
    <row r="56" spans="1:8" x14ac:dyDescent="0.35">
      <c r="A56" s="9">
        <v>7</v>
      </c>
      <c r="B56" s="94"/>
      <c r="C56" s="25">
        <f>'TC-1'!I9</f>
        <v>91.2</v>
      </c>
      <c r="D56" s="25">
        <f>'TC-2'!I9</f>
        <v>91.9</v>
      </c>
      <c r="E56" s="25">
        <f>'SC-1'!I9</f>
        <v>12.3</v>
      </c>
      <c r="F56" s="25">
        <f>'SC-2'!I9</f>
        <v>13</v>
      </c>
      <c r="G56" s="25">
        <f>WG!I9</f>
        <v>24.9</v>
      </c>
      <c r="H56" s="25">
        <f>DT!I9</f>
        <v>0.96799999999999997</v>
      </c>
    </row>
    <row r="57" spans="1:8" x14ac:dyDescent="0.35">
      <c r="A57" s="9">
        <v>7</v>
      </c>
      <c r="B57" s="94"/>
      <c r="C57" s="25">
        <f>'TC-1'!I10</f>
        <v>91.9</v>
      </c>
      <c r="D57" s="25">
        <f>'TC-2'!I10</f>
        <v>92.2</v>
      </c>
      <c r="E57" s="25">
        <f>'SC-1'!I10</f>
        <v>12.3</v>
      </c>
      <c r="F57" s="25">
        <f>'SC-2'!I10</f>
        <v>13</v>
      </c>
      <c r="G57" s="25">
        <f>WG!I10</f>
        <v>25</v>
      </c>
      <c r="H57" s="25">
        <f>DT!I10</f>
        <v>0.93799999999999994</v>
      </c>
    </row>
    <row r="58" spans="1:8" x14ac:dyDescent="0.35">
      <c r="A58" s="9">
        <v>7</v>
      </c>
      <c r="B58" s="90"/>
      <c r="C58" s="25">
        <f>'TC-1'!I11</f>
        <v>91.8</v>
      </c>
      <c r="D58" s="25">
        <f>'TC-2'!I11</f>
        <v>92.3</v>
      </c>
      <c r="E58" s="25">
        <f>'SC-1'!I11</f>
        <v>12.2</v>
      </c>
      <c r="F58" s="25">
        <f>'SC-2'!I11</f>
        <v>13</v>
      </c>
      <c r="G58" s="25">
        <f>WG!I11</f>
        <v>25</v>
      </c>
      <c r="H58" s="25">
        <f>DT!I11</f>
        <v>0.93700000000000006</v>
      </c>
    </row>
    <row r="59" spans="1:8" x14ac:dyDescent="0.35">
      <c r="A59" s="9">
        <v>8</v>
      </c>
      <c r="B59" s="97">
        <v>8</v>
      </c>
      <c r="C59" s="25">
        <f>'TC-1'!J4</f>
        <v>90</v>
      </c>
      <c r="D59" s="25">
        <f>'TC-2'!J4</f>
        <v>90.6</v>
      </c>
      <c r="E59" s="25">
        <f>'SC-1'!J4</f>
        <v>12.1</v>
      </c>
      <c r="F59" s="25">
        <f>'SC-2'!J4</f>
        <v>12.8</v>
      </c>
      <c r="G59" s="25">
        <f>WG!J4</f>
        <v>24.4</v>
      </c>
      <c r="H59" s="25">
        <f>DT!J4</f>
        <v>1.01</v>
      </c>
    </row>
    <row r="60" spans="1:8" x14ac:dyDescent="0.35">
      <c r="A60" s="9">
        <v>8</v>
      </c>
      <c r="B60" s="94"/>
      <c r="C60" s="25">
        <f>'TC-1'!J5</f>
        <v>90</v>
      </c>
      <c r="D60" s="25">
        <f>'TC-2'!J5</f>
        <v>90.5</v>
      </c>
      <c r="E60" s="25">
        <f>'SC-1'!J5</f>
        <v>12.1</v>
      </c>
      <c r="F60" s="25">
        <f>'SC-2'!J5</f>
        <v>12.8</v>
      </c>
      <c r="G60" s="25">
        <f>WG!J5</f>
        <v>24.4</v>
      </c>
      <c r="H60" s="25">
        <f>DT!J5</f>
        <v>1.01</v>
      </c>
    </row>
    <row r="61" spans="1:8" x14ac:dyDescent="0.35">
      <c r="A61" s="9">
        <v>8</v>
      </c>
      <c r="B61" s="94"/>
      <c r="C61" s="25">
        <f>'TC-1'!J6</f>
        <v>90.2</v>
      </c>
      <c r="D61" s="25">
        <f>'TC-2'!J6</f>
        <v>90.2</v>
      </c>
      <c r="E61" s="25">
        <f>'SC-1'!J6</f>
        <v>12.1</v>
      </c>
      <c r="F61" s="25">
        <f>'SC-2'!J6</f>
        <v>12.7</v>
      </c>
      <c r="G61" s="25">
        <f>WG!J6</f>
        <v>24.4</v>
      </c>
      <c r="H61" s="25">
        <f>DT!J6</f>
        <v>1</v>
      </c>
    </row>
    <row r="62" spans="1:8" x14ac:dyDescent="0.35">
      <c r="A62" s="9">
        <v>8</v>
      </c>
      <c r="B62" s="94"/>
      <c r="C62" s="25">
        <f>'TC-1'!J7</f>
        <v>90.1</v>
      </c>
      <c r="D62" s="25">
        <f>'TC-2'!J7</f>
        <v>90.1</v>
      </c>
      <c r="E62" s="25">
        <f>'SC-1'!J7</f>
        <v>12.1</v>
      </c>
      <c r="F62" s="25">
        <f>'SC-2'!J7</f>
        <v>12.7</v>
      </c>
      <c r="G62" s="25">
        <f>WG!J7</f>
        <v>24.4</v>
      </c>
      <c r="H62" s="25">
        <f>DT!J7</f>
        <v>1</v>
      </c>
    </row>
    <row r="63" spans="1:8" x14ac:dyDescent="0.35">
      <c r="A63" s="9">
        <v>8</v>
      </c>
      <c r="B63" s="94"/>
      <c r="C63" s="25">
        <f>'TC-1'!J8</f>
        <v>89.2</v>
      </c>
      <c r="D63" s="25">
        <f>'TC-2'!J8</f>
        <v>90.7</v>
      </c>
      <c r="E63" s="25">
        <f>'SC-1'!J8</f>
        <v>12</v>
      </c>
      <c r="F63" s="25">
        <f>'SC-2'!J8</f>
        <v>12.6</v>
      </c>
      <c r="G63" s="25">
        <f>WG!J8</f>
        <v>23.9</v>
      </c>
      <c r="H63" s="25">
        <f>DT!J8</f>
        <v>0.65800000000000003</v>
      </c>
    </row>
    <row r="64" spans="1:8" x14ac:dyDescent="0.35">
      <c r="A64" s="9">
        <v>8</v>
      </c>
      <c r="B64" s="94"/>
      <c r="C64" s="25">
        <f>'TC-1'!J9</f>
        <v>89.3</v>
      </c>
      <c r="D64" s="25">
        <f>'TC-2'!J9</f>
        <v>90.5</v>
      </c>
      <c r="E64" s="25">
        <f>'SC-1'!J9</f>
        <v>12</v>
      </c>
      <c r="F64" s="25">
        <f>'SC-2'!J9</f>
        <v>12.6</v>
      </c>
      <c r="G64" s="25">
        <f>WG!J9</f>
        <v>24</v>
      </c>
      <c r="H64" s="25">
        <f>DT!J9</f>
        <v>0.65800000000000003</v>
      </c>
    </row>
    <row r="65" spans="1:8" x14ac:dyDescent="0.35">
      <c r="A65" s="9">
        <v>8</v>
      </c>
      <c r="B65" s="94"/>
      <c r="C65" s="25">
        <f>'TC-1'!J10</f>
        <v>90</v>
      </c>
      <c r="D65" s="25">
        <f>'TC-2'!J10</f>
        <v>90.6</v>
      </c>
      <c r="E65" s="25">
        <f>'SC-1'!J10</f>
        <v>12</v>
      </c>
      <c r="F65" s="25">
        <f>'SC-2'!J10</f>
        <v>12.6</v>
      </c>
      <c r="G65" s="25">
        <f>WG!J10</f>
        <v>24.2</v>
      </c>
      <c r="H65" s="25">
        <f>DT!J10</f>
        <v>0.76900000000000002</v>
      </c>
    </row>
    <row r="66" spans="1:8" x14ac:dyDescent="0.35">
      <c r="A66" s="9">
        <v>8</v>
      </c>
      <c r="B66" s="90"/>
      <c r="C66" s="25">
        <f>'TC-1'!J11</f>
        <v>90.1</v>
      </c>
      <c r="D66" s="25">
        <f>'TC-2'!J11</f>
        <v>90.5</v>
      </c>
      <c r="E66" s="25">
        <f>'SC-1'!J11</f>
        <v>12</v>
      </c>
      <c r="F66" s="25">
        <f>'SC-2'!J11</f>
        <v>12.6</v>
      </c>
      <c r="G66" s="25">
        <f>WG!J11</f>
        <v>24.2</v>
      </c>
      <c r="H66" s="25">
        <f>DT!J11</f>
        <v>0.76900000000000002</v>
      </c>
    </row>
    <row r="67" spans="1:8" x14ac:dyDescent="0.35">
      <c r="A67" s="9">
        <v>9</v>
      </c>
      <c r="B67" s="97">
        <v>9</v>
      </c>
      <c r="C67" s="25">
        <f>'TC-1'!K4</f>
        <v>90.7</v>
      </c>
      <c r="D67" s="25">
        <f>'TC-2'!K4</f>
        <v>90.4</v>
      </c>
      <c r="E67" s="25">
        <f>'SC-1'!K4</f>
        <v>12.1</v>
      </c>
      <c r="F67" s="25">
        <f>'SC-2'!K4</f>
        <v>12.9</v>
      </c>
      <c r="G67" s="7">
        <f>WG!K4</f>
        <v>24.5</v>
      </c>
      <c r="H67" s="25">
        <f>DT!K4</f>
        <v>1.01</v>
      </c>
    </row>
    <row r="68" spans="1:8" x14ac:dyDescent="0.35">
      <c r="A68" s="9">
        <v>9</v>
      </c>
      <c r="B68" s="94"/>
      <c r="C68" s="25">
        <f>'TC-1'!K5</f>
        <v>90.6</v>
      </c>
      <c r="D68" s="25">
        <f>'TC-2'!K5</f>
        <v>90.5</v>
      </c>
      <c r="E68" s="25">
        <f>'SC-1'!K5</f>
        <v>12.1</v>
      </c>
      <c r="F68" s="25">
        <f>'SC-2'!K5</f>
        <v>12.9</v>
      </c>
      <c r="G68" s="7">
        <f>WG!K5</f>
        <v>24.5</v>
      </c>
      <c r="H68" s="25">
        <f>DT!K5</f>
        <v>1.01</v>
      </c>
    </row>
    <row r="69" spans="1:8" x14ac:dyDescent="0.35">
      <c r="A69" s="9">
        <v>9</v>
      </c>
      <c r="B69" s="94"/>
      <c r="C69" s="25">
        <f>'TC-1'!K6</f>
        <v>90.7</v>
      </c>
      <c r="D69" s="25">
        <f>'TC-2'!K6</f>
        <v>90.4</v>
      </c>
      <c r="E69" s="25">
        <f>'SC-1'!K6</f>
        <v>12.1</v>
      </c>
      <c r="F69" s="25">
        <f>'SC-2'!K6</f>
        <v>12.9</v>
      </c>
      <c r="G69" s="7">
        <f>WG!K6</f>
        <v>24.4</v>
      </c>
      <c r="H69" s="25">
        <f>DT!K6</f>
        <v>0.998</v>
      </c>
    </row>
    <row r="70" spans="1:8" x14ac:dyDescent="0.35">
      <c r="A70" s="9">
        <v>9</v>
      </c>
      <c r="B70" s="94"/>
      <c r="C70" s="25">
        <f>'TC-1'!K7</f>
        <v>90.6</v>
      </c>
      <c r="D70" s="25">
        <f>'TC-2'!K7</f>
        <v>90.5</v>
      </c>
      <c r="E70" s="25">
        <f>'SC-1'!K7</f>
        <v>12.1</v>
      </c>
      <c r="F70" s="25">
        <f>'SC-2'!K7</f>
        <v>12.9</v>
      </c>
      <c r="G70" s="7">
        <f>WG!K7</f>
        <v>24.5</v>
      </c>
      <c r="H70" s="25">
        <f>DT!K7</f>
        <v>0.997</v>
      </c>
    </row>
    <row r="71" spans="1:8" x14ac:dyDescent="0.35">
      <c r="A71" s="9">
        <v>9</v>
      </c>
      <c r="B71" s="94"/>
      <c r="C71" s="25">
        <f>'TC-1'!K8</f>
        <v>89.6</v>
      </c>
      <c r="D71" s="25">
        <f>'TC-2'!K8</f>
        <v>90.8</v>
      </c>
      <c r="E71" s="25">
        <f>'SC-1'!K8</f>
        <v>12.3</v>
      </c>
      <c r="F71" s="25">
        <f>'SC-2'!K8</f>
        <v>13.2</v>
      </c>
      <c r="G71" s="7">
        <f>WG!K8</f>
        <v>24.9</v>
      </c>
      <c r="H71" s="25">
        <f>DT!K8</f>
        <v>1.02</v>
      </c>
    </row>
    <row r="72" spans="1:8" x14ac:dyDescent="0.35">
      <c r="A72" s="9">
        <v>9</v>
      </c>
      <c r="B72" s="94"/>
      <c r="C72" s="25">
        <f>'TC-1'!K9</f>
        <v>89.6</v>
      </c>
      <c r="D72" s="25">
        <f>'TC-2'!K9</f>
        <v>90.9</v>
      </c>
      <c r="E72" s="25">
        <f>'SC-1'!K9</f>
        <v>12.3</v>
      </c>
      <c r="F72" s="25">
        <f>'SC-2'!K9</f>
        <v>13.3</v>
      </c>
      <c r="G72" s="7">
        <f>WG!K9</f>
        <v>25</v>
      </c>
      <c r="H72" s="25">
        <f>DT!K9</f>
        <v>1.01</v>
      </c>
    </row>
    <row r="73" spans="1:8" x14ac:dyDescent="0.35">
      <c r="A73" s="9">
        <v>9</v>
      </c>
      <c r="B73" s="94"/>
      <c r="C73" s="25">
        <f>'TC-1'!K10</f>
        <v>89.5</v>
      </c>
      <c r="D73" s="25">
        <f>'TC-2'!K10</f>
        <v>90.8</v>
      </c>
      <c r="E73" s="25">
        <f>'SC-1'!K10</f>
        <v>12.3</v>
      </c>
      <c r="F73" s="25">
        <f>'SC-2'!K10</f>
        <v>13.2</v>
      </c>
      <c r="G73" s="7">
        <f>WG!K10</f>
        <v>24.9</v>
      </c>
      <c r="H73" s="25">
        <f>DT!K10</f>
        <v>1.01</v>
      </c>
    </row>
    <row r="74" spans="1:8" x14ac:dyDescent="0.35">
      <c r="A74" s="9">
        <v>9</v>
      </c>
      <c r="B74" s="90"/>
      <c r="C74" s="25">
        <f>'TC-1'!K11</f>
        <v>89.7</v>
      </c>
      <c r="D74" s="25">
        <f>'TC-2'!K11</f>
        <v>90.5</v>
      </c>
      <c r="E74" s="25">
        <f>'SC-1'!K11</f>
        <v>12.4</v>
      </c>
      <c r="F74" s="25">
        <f>'SC-2'!K11</f>
        <v>13.3</v>
      </c>
      <c r="G74" s="7">
        <f>WG!K11</f>
        <v>24.9</v>
      </c>
      <c r="H74" s="25">
        <f>DT!K11</f>
        <v>1.02</v>
      </c>
    </row>
    <row r="75" spans="1:8" x14ac:dyDescent="0.35">
      <c r="A75" s="9">
        <v>10</v>
      </c>
      <c r="B75" s="97">
        <v>10</v>
      </c>
      <c r="C75" s="25">
        <f>'TC-1'!L4</f>
        <v>89.3</v>
      </c>
      <c r="D75" s="25">
        <f>'TC-2'!L4</f>
        <v>90.2</v>
      </c>
      <c r="E75" s="25">
        <f>'SC-1'!L4</f>
        <v>12.1</v>
      </c>
      <c r="F75" s="25">
        <f>'SC-2'!L4</f>
        <v>13</v>
      </c>
      <c r="G75" s="7">
        <f>WG!L4</f>
        <v>24.3</v>
      </c>
      <c r="H75" s="7">
        <f>DT!L4</f>
        <v>0.98399999999999999</v>
      </c>
    </row>
    <row r="76" spans="1:8" x14ac:dyDescent="0.35">
      <c r="A76" s="9">
        <v>10</v>
      </c>
      <c r="B76" s="94"/>
      <c r="C76" s="25">
        <f>'TC-1'!L5</f>
        <v>89.4</v>
      </c>
      <c r="D76" s="25">
        <f>'TC-2'!L5</f>
        <v>90.1</v>
      </c>
      <c r="E76" s="25">
        <f>'SC-1'!L5</f>
        <v>12.1</v>
      </c>
      <c r="F76" s="25">
        <f>'SC-2'!L5</f>
        <v>13</v>
      </c>
      <c r="G76" s="7">
        <f>WG!L5</f>
        <v>24.3</v>
      </c>
      <c r="H76" s="7">
        <f>DT!L5</f>
        <v>0.98499999999999999</v>
      </c>
    </row>
    <row r="77" spans="1:8" x14ac:dyDescent="0.35">
      <c r="A77" s="9">
        <v>10</v>
      </c>
      <c r="B77" s="94"/>
      <c r="C77" s="25">
        <f>'TC-1'!L6</f>
        <v>89.4</v>
      </c>
      <c r="D77" s="25">
        <f>'TC-2'!L6</f>
        <v>90</v>
      </c>
      <c r="E77" s="25">
        <f>'SC-1'!L6</f>
        <v>12.1</v>
      </c>
      <c r="F77" s="25">
        <f>'SC-2'!L6</f>
        <v>13.1</v>
      </c>
      <c r="G77" s="7">
        <f>WG!L6</f>
        <v>24.4</v>
      </c>
      <c r="H77" s="7">
        <f>DT!L6</f>
        <v>0.98099999999999998</v>
      </c>
    </row>
    <row r="78" spans="1:8" x14ac:dyDescent="0.35">
      <c r="A78" s="9">
        <v>10</v>
      </c>
      <c r="B78" s="94"/>
      <c r="C78" s="25">
        <f>'TC-1'!L7</f>
        <v>89.2</v>
      </c>
      <c r="D78" s="25">
        <f>'TC-2'!L7</f>
        <v>90</v>
      </c>
      <c r="E78" s="25">
        <f>'SC-1'!L7</f>
        <v>12.1</v>
      </c>
      <c r="F78" s="25">
        <f>'SC-2'!L7</f>
        <v>13.1</v>
      </c>
      <c r="G78" s="7">
        <f>WG!L7</f>
        <v>24.3</v>
      </c>
      <c r="H78" s="7">
        <f>DT!L7</f>
        <v>0.98199999999999998</v>
      </c>
    </row>
    <row r="79" spans="1:8" x14ac:dyDescent="0.35">
      <c r="A79" s="9">
        <v>10</v>
      </c>
      <c r="B79" s="94"/>
      <c r="C79" s="25">
        <f>'TC-1'!L8</f>
        <v>91.4</v>
      </c>
      <c r="D79" s="25">
        <f>'TC-2'!L8</f>
        <v>92.2</v>
      </c>
      <c r="E79" s="25">
        <f>'SC-1'!L8</f>
        <v>12.4</v>
      </c>
      <c r="F79" s="25">
        <f>'SC-2'!L8</f>
        <v>13.3</v>
      </c>
      <c r="G79" s="7">
        <f>WG!L8</f>
        <v>25.1</v>
      </c>
      <c r="H79" s="7">
        <f>DT!L8</f>
        <v>0.97199999999999998</v>
      </c>
    </row>
    <row r="80" spans="1:8" x14ac:dyDescent="0.35">
      <c r="A80" s="9">
        <v>10</v>
      </c>
      <c r="B80" s="94"/>
      <c r="C80" s="25">
        <f>'TC-1'!L9</f>
        <v>91.4</v>
      </c>
      <c r="D80" s="25">
        <f>'TC-2'!L9</f>
        <v>92.2</v>
      </c>
      <c r="E80" s="25">
        <f>'SC-1'!L9</f>
        <v>12.4</v>
      </c>
      <c r="F80" s="25">
        <f>'SC-2'!L9</f>
        <v>13.5</v>
      </c>
      <c r="G80" s="7">
        <f>WG!L9</f>
        <v>25.1</v>
      </c>
      <c r="H80" s="7">
        <f>DT!L9</f>
        <v>0.98199999999999998</v>
      </c>
    </row>
    <row r="81" spans="1:8" x14ac:dyDescent="0.35">
      <c r="A81" s="9">
        <v>10</v>
      </c>
      <c r="B81" s="94"/>
      <c r="C81" s="25">
        <f>'TC-1'!L10</f>
        <v>92</v>
      </c>
      <c r="D81" s="25">
        <f>'TC-2'!L10</f>
        <v>92.2</v>
      </c>
      <c r="E81" s="25">
        <f>'SC-1'!L10</f>
        <v>12.4</v>
      </c>
      <c r="F81" s="25">
        <f>'SC-2'!L10</f>
        <v>13.4</v>
      </c>
      <c r="G81" s="7">
        <f>WG!L10</f>
        <v>25.1</v>
      </c>
      <c r="H81" s="7">
        <f>DT!L10</f>
        <v>1.01</v>
      </c>
    </row>
    <row r="82" spans="1:8" x14ac:dyDescent="0.35">
      <c r="A82" s="9">
        <v>10</v>
      </c>
      <c r="B82" s="90"/>
      <c r="C82" s="25">
        <f>'TC-1'!L11</f>
        <v>92.1</v>
      </c>
      <c r="D82" s="25">
        <f>'TC-2'!L11</f>
        <v>92.2</v>
      </c>
      <c r="E82" s="25">
        <f>'SC-1'!L11</f>
        <v>12.4</v>
      </c>
      <c r="F82" s="25">
        <f>'SC-2'!L11</f>
        <v>13.5</v>
      </c>
      <c r="G82" s="7">
        <f>WG!L11</f>
        <v>25.2</v>
      </c>
      <c r="H82" s="7">
        <f>DT!L11</f>
        <v>1.01</v>
      </c>
    </row>
    <row r="83" spans="1:8" x14ac:dyDescent="0.35">
      <c r="A83" s="9">
        <v>11</v>
      </c>
      <c r="B83" s="97">
        <v>11</v>
      </c>
      <c r="C83" s="25">
        <f>'TC-1'!M4</f>
        <v>85.8</v>
      </c>
      <c r="D83" s="25">
        <f>'TC-2'!M4</f>
        <v>85.9</v>
      </c>
      <c r="E83" s="25">
        <f>'SC-1'!M4</f>
        <v>12</v>
      </c>
      <c r="F83" s="25">
        <f>'SC-2'!M4</f>
        <v>12</v>
      </c>
      <c r="G83" s="7">
        <f>WG!M4</f>
        <v>25.2</v>
      </c>
      <c r="H83" s="60">
        <f>DT!M4</f>
        <v>0.254</v>
      </c>
    </row>
    <row r="84" spans="1:8" x14ac:dyDescent="0.35">
      <c r="A84" s="9">
        <v>11</v>
      </c>
      <c r="B84" s="94"/>
      <c r="C84" s="25">
        <f>'TC-1'!M5</f>
        <v>85.9</v>
      </c>
      <c r="D84" s="25">
        <f>'TC-2'!M5</f>
        <v>85.8</v>
      </c>
      <c r="E84" s="25">
        <f>'SC-1'!M5</f>
        <v>12</v>
      </c>
      <c r="F84" s="25">
        <f>'SC-2'!M5</f>
        <v>12</v>
      </c>
      <c r="G84" s="7">
        <f>WG!M5</f>
        <v>25.4</v>
      </c>
      <c r="H84" s="60">
        <f>DT!M5</f>
        <v>0.254</v>
      </c>
    </row>
    <row r="85" spans="1:8" x14ac:dyDescent="0.35">
      <c r="A85" s="9">
        <v>11</v>
      </c>
      <c r="B85" s="94"/>
      <c r="C85" s="25">
        <f>'TC-1'!M6</f>
        <v>85.4</v>
      </c>
      <c r="D85" s="25">
        <f>'TC-2'!M6</f>
        <v>85.8</v>
      </c>
      <c r="E85" s="25">
        <f>'SC-1'!M6</f>
        <v>12</v>
      </c>
      <c r="F85" s="25">
        <f>'SC-2'!M6</f>
        <v>12.8</v>
      </c>
      <c r="G85" s="7">
        <f>WG!M6</f>
        <v>25.2</v>
      </c>
      <c r="H85" s="60">
        <f>DT!M6</f>
        <v>0.252</v>
      </c>
    </row>
    <row r="86" spans="1:8" x14ac:dyDescent="0.35">
      <c r="A86" s="9">
        <v>11</v>
      </c>
      <c r="B86" s="94"/>
      <c r="C86" s="25">
        <f>'TC-1'!M7</f>
        <v>85.7</v>
      </c>
      <c r="D86" s="25">
        <f>'TC-2'!M7</f>
        <v>85.8</v>
      </c>
      <c r="E86" s="25">
        <f>'SC-1'!M7</f>
        <v>12</v>
      </c>
      <c r="F86" s="25">
        <f>'SC-2'!M7</f>
        <v>12.8</v>
      </c>
      <c r="G86" s="7">
        <f>WG!M7</f>
        <v>25.2</v>
      </c>
      <c r="H86" s="60">
        <f>DT!M7</f>
        <v>0.254</v>
      </c>
    </row>
    <row r="87" spans="1:8" x14ac:dyDescent="0.35">
      <c r="A87" s="9">
        <v>11</v>
      </c>
      <c r="B87" s="94"/>
      <c r="C87" s="25">
        <f>'TC-1'!M8</f>
        <v>85.3</v>
      </c>
      <c r="D87" s="25">
        <f>'TC-2'!M8</f>
        <v>85.5</v>
      </c>
      <c r="E87" s="25">
        <f>'SC-1'!M8</f>
        <v>12</v>
      </c>
      <c r="F87" s="25">
        <f>'SC-2'!M8</f>
        <v>12.6</v>
      </c>
      <c r="G87" s="7">
        <f>WG!M8</f>
        <v>25.2</v>
      </c>
      <c r="H87" s="60">
        <f>DT!M8</f>
        <v>0.32600000000000001</v>
      </c>
    </row>
    <row r="88" spans="1:8" x14ac:dyDescent="0.35">
      <c r="A88" s="9">
        <v>11</v>
      </c>
      <c r="B88" s="94"/>
      <c r="C88" s="25">
        <f>'TC-1'!M9</f>
        <v>85.4</v>
      </c>
      <c r="D88" s="25">
        <f>'TC-2'!M9</f>
        <v>85.9</v>
      </c>
      <c r="E88" s="25">
        <f>'SC-1'!M9</f>
        <v>12</v>
      </c>
      <c r="F88" s="25">
        <f>'SC-2'!M9</f>
        <v>12.4</v>
      </c>
      <c r="G88" s="7">
        <f>WG!M9</f>
        <v>25.2</v>
      </c>
      <c r="H88" s="60">
        <f>DT!M9</f>
        <v>0.32400000000000001</v>
      </c>
    </row>
    <row r="89" spans="1:8" x14ac:dyDescent="0.35">
      <c r="A89" s="9">
        <v>11</v>
      </c>
      <c r="B89" s="94"/>
      <c r="C89" s="25">
        <f>'TC-1'!M10</f>
        <v>85.4</v>
      </c>
      <c r="D89" s="25">
        <f>'TC-2'!M10</f>
        <v>85.4</v>
      </c>
      <c r="E89" s="25">
        <f>'SC-1'!M10</f>
        <v>12</v>
      </c>
      <c r="F89" s="25">
        <f>'SC-2'!M10</f>
        <v>12.5</v>
      </c>
      <c r="G89" s="7">
        <f>WG!M10</f>
        <v>24.9</v>
      </c>
      <c r="H89" s="60">
        <f>DT!M10</f>
        <v>0.25</v>
      </c>
    </row>
    <row r="90" spans="1:8" x14ac:dyDescent="0.35">
      <c r="A90" s="9">
        <v>11</v>
      </c>
      <c r="B90" s="90"/>
      <c r="C90" s="25">
        <f>'TC-1'!M11</f>
        <v>85.6</v>
      </c>
      <c r="D90" s="25">
        <f>'TC-2'!M11</f>
        <v>85.9</v>
      </c>
      <c r="E90" s="25">
        <f>'SC-1'!M11</f>
        <v>12</v>
      </c>
      <c r="F90" s="25">
        <f>'SC-2'!M11</f>
        <v>12.9</v>
      </c>
      <c r="G90" s="7">
        <f>WG!M11</f>
        <v>25</v>
      </c>
      <c r="H90" s="60">
        <f>DT!M11</f>
        <v>0.25</v>
      </c>
    </row>
  </sheetData>
  <mergeCells count="39">
    <mergeCell ref="X22:AA22"/>
    <mergeCell ref="B83:B90"/>
    <mergeCell ref="B27:B34"/>
    <mergeCell ref="Y31:Z31"/>
    <mergeCell ref="AA31:AB31"/>
    <mergeCell ref="Y32:Z32"/>
    <mergeCell ref="AA32:AB32"/>
    <mergeCell ref="B35:B42"/>
    <mergeCell ref="B43:B50"/>
    <mergeCell ref="B51:B58"/>
    <mergeCell ref="B59:B66"/>
    <mergeCell ref="B67:B74"/>
    <mergeCell ref="B75:B82"/>
    <mergeCell ref="B3:B10"/>
    <mergeCell ref="AH10:AH11"/>
    <mergeCell ref="B11:B18"/>
    <mergeCell ref="AH12:AH13"/>
    <mergeCell ref="K17:V17"/>
    <mergeCell ref="J18:J19"/>
    <mergeCell ref="K18:L18"/>
    <mergeCell ref="M18:N18"/>
    <mergeCell ref="O18:P18"/>
    <mergeCell ref="Q18:R18"/>
    <mergeCell ref="S18:T18"/>
    <mergeCell ref="U18:V18"/>
    <mergeCell ref="B19:B26"/>
    <mergeCell ref="X19:AA19"/>
    <mergeCell ref="X20:AA20"/>
    <mergeCell ref="X21:AA21"/>
    <mergeCell ref="C1:F1"/>
    <mergeCell ref="K1:V1"/>
    <mergeCell ref="AF1:AI1"/>
    <mergeCell ref="J2:J3"/>
    <mergeCell ref="K2:L2"/>
    <mergeCell ref="M2:N2"/>
    <mergeCell ref="O2:P2"/>
    <mergeCell ref="Q2:R2"/>
    <mergeCell ref="S2:T2"/>
    <mergeCell ref="U2:V2"/>
  </mergeCells>
  <conditionalFormatting sqref="AG6:AJ7">
    <cfRule type="cellIs" dxfId="11" priority="10" operator="between">
      <formula>$AG$2</formula>
      <formula>$AI$2</formula>
    </cfRule>
    <cfRule type="cellIs" dxfId="10" priority="11" operator="lessThan">
      <formula>$AI$2</formula>
    </cfRule>
    <cfRule type="cellIs" dxfId="9" priority="12" operator="greaterThan">
      <formula>$AG$2</formula>
    </cfRule>
  </conditionalFormatting>
  <conditionalFormatting sqref="AK6:AK7">
    <cfRule type="cellIs" dxfId="8" priority="7" operator="between">
      <formula>$AG$2</formula>
      <formula>$AI$2</formula>
    </cfRule>
    <cfRule type="cellIs" dxfId="7" priority="8" operator="lessThan">
      <formula>$AI$2</formula>
    </cfRule>
    <cfRule type="cellIs" dxfId="6" priority="9" operator="greaterThan">
      <formula>$AG$2</formula>
    </cfRule>
  </conditionalFormatting>
  <conditionalFormatting sqref="AL7">
    <cfRule type="cellIs" dxfId="5" priority="4" operator="between">
      <formula>$AG$2</formula>
      <formula>$AI$2</formula>
    </cfRule>
    <cfRule type="cellIs" dxfId="4" priority="5" operator="lessThan">
      <formula>$AI$2</formula>
    </cfRule>
    <cfRule type="cellIs" dxfId="3" priority="6" operator="greaterThan">
      <formula>$AG$2</formula>
    </cfRule>
  </conditionalFormatting>
  <conditionalFormatting sqref="AL6">
    <cfRule type="cellIs" dxfId="2" priority="1" operator="between">
      <formula>$AG$2</formula>
      <formula>$AI$2</formula>
    </cfRule>
    <cfRule type="cellIs" dxfId="1" priority="2" operator="lessThan">
      <formula>$AI$2</formula>
    </cfRule>
    <cfRule type="cellIs" dxfId="0" priority="3" operator="greaterThan">
      <formula>$AG$2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8F7A51EDAE345B6C7201ED3C18116" ma:contentTypeVersion="13" ma:contentTypeDescription="Create a new document." ma:contentTypeScope="" ma:versionID="7d50bdd7e1085a32cadd9970ea8a58b6">
  <xsd:schema xmlns:xsd="http://www.w3.org/2001/XMLSchema" xmlns:xs="http://www.w3.org/2001/XMLSchema" xmlns:p="http://schemas.microsoft.com/office/2006/metadata/properties" xmlns:ns3="9cb20364-6e2b-40ff-abd2-b59d84c14122" xmlns:ns4="5c7c379f-4932-4804-82b7-414f908e205b" targetNamespace="http://schemas.microsoft.com/office/2006/metadata/properties" ma:root="true" ma:fieldsID="358c10b2cded795d1cb3816e3db8fc51" ns3:_="" ns4:_="">
    <xsd:import namespace="9cb20364-6e2b-40ff-abd2-b59d84c14122"/>
    <xsd:import namespace="5c7c379f-4932-4804-82b7-414f908e20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20364-6e2b-40ff-abd2-b59d84c14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c379f-4932-4804-82b7-414f908e205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886E7F-D64B-472B-8A04-FBA98D7B41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6E1CDF-BA39-4314-B072-C16756FF36F1}">
  <ds:schemaRefs>
    <ds:schemaRef ds:uri="http://schemas.microsoft.com/office/2006/documentManagement/types"/>
    <ds:schemaRef ds:uri="9cb20364-6e2b-40ff-abd2-b59d84c14122"/>
    <ds:schemaRef ds:uri="http://purl.org/dc/elements/1.1/"/>
    <ds:schemaRef ds:uri="5c7c379f-4932-4804-82b7-414f908e205b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11B230-2761-42F0-B8C2-E54573227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20364-6e2b-40ff-abd2-b59d84c14122"/>
    <ds:schemaRef ds:uri="5c7c379f-4932-4804-82b7-414f908e20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Labs_shipping</vt:lpstr>
      <vt:lpstr>TC-1</vt:lpstr>
      <vt:lpstr>TC-2</vt:lpstr>
      <vt:lpstr>SC-1</vt:lpstr>
      <vt:lpstr>SC-2</vt:lpstr>
      <vt:lpstr>WG</vt:lpstr>
      <vt:lpstr>DT</vt:lpstr>
      <vt:lpstr>ISO Calculations(TC1_2_SC1_WG)</vt:lpstr>
      <vt:lpstr>ISO Calculations(SC2_DT)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King</dc:creator>
  <cp:lastModifiedBy>Jones, Jennifer</cp:lastModifiedBy>
  <cp:lastPrinted>2019-04-05T13:43:56Z</cp:lastPrinted>
  <dcterms:created xsi:type="dcterms:W3CDTF">2019-03-06T16:39:30Z</dcterms:created>
  <dcterms:modified xsi:type="dcterms:W3CDTF">2020-05-29T00:52:12Z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0x010100C0C8F7A51EDAE345B6C7201ED3C18116</vt:lpwstr>
  </property>
</Properties>
</file>